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Incomes\"/>
    </mc:Choice>
  </mc:AlternateContent>
  <xr:revisionPtr revIDLastSave="0" documentId="13_ncr:1_{B4BADD73-21BC-4902-A4A4-84514304BC04}" xr6:coauthVersionLast="47" xr6:coauthVersionMax="47" xr10:uidLastSave="{00000000-0000-0000-0000-000000000000}"/>
  <bookViews>
    <workbookView xWindow="-120" yWindow="-120" windowWidth="29040" windowHeight="15720" xr2:uid="{140D848A-9DC8-40EC-B3B8-52949645519D}"/>
  </bookViews>
  <sheets>
    <sheet name="Income2024" sheetId="1" r:id="rId1"/>
    <sheet name="Invoices12.2023" sheetId="2" r:id="rId2"/>
  </sheets>
  <definedNames>
    <definedName name="amount">Tableau1[Amount]</definedName>
    <definedName name="cchf">Tableau1[Currency]="CHF"</definedName>
    <definedName name="chf">Income2024!$L$24</definedName>
    <definedName name="currency">Tableau1[Currency]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N5" i="1"/>
  <c r="M5" i="1"/>
  <c r="O4" i="1"/>
  <c r="N4" i="1"/>
  <c r="M4" i="1"/>
  <c r="O3" i="1"/>
  <c r="N3" i="1"/>
  <c r="M3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8" i="1"/>
  <c r="L6" i="1" s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O8" i="1"/>
  <c r="N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8" i="1"/>
  <c r="L4" i="1"/>
  <c r="L5" i="1"/>
  <c r="L3" i="1"/>
  <c r="D1" i="1" a="1"/>
  <c r="D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<sst xmlns="http://schemas.openxmlformats.org/spreadsheetml/2006/main" count="151" uniqueCount="53">
  <si>
    <t>InvoiceNr</t>
  </si>
  <si>
    <t>Amount</t>
  </si>
  <si>
    <t>Paid</t>
  </si>
  <si>
    <t>method of payment</t>
  </si>
  <si>
    <t>Yes</t>
  </si>
  <si>
    <t>IDR</t>
  </si>
  <si>
    <t>Cash</t>
  </si>
  <si>
    <t>Bank transfer</t>
  </si>
  <si>
    <t>55H-0231113</t>
  </si>
  <si>
    <t>CHF</t>
  </si>
  <si>
    <t>No</t>
  </si>
  <si>
    <t>Invoice Date</t>
  </si>
  <si>
    <t>Payment Date</t>
  </si>
  <si>
    <t>Currency</t>
  </si>
  <si>
    <t>USD</t>
  </si>
  <si>
    <t>Total by Currency</t>
  </si>
  <si>
    <t>Not Paid</t>
  </si>
  <si>
    <t>55H-9240100X</t>
  </si>
  <si>
    <t>55H-92401005</t>
  </si>
  <si>
    <t>55H-92401004</t>
  </si>
  <si>
    <t>55H-92401008</t>
  </si>
  <si>
    <t>55H-92401009</t>
  </si>
  <si>
    <t>55H-92401007</t>
  </si>
  <si>
    <t>55H-92401001</t>
  </si>
  <si>
    <t>55H-92401002</t>
  </si>
  <si>
    <t>55H-92401003</t>
  </si>
  <si>
    <t>55H-92401006</t>
  </si>
  <si>
    <t>Name</t>
  </si>
  <si>
    <t>Cun Cun</t>
  </si>
  <si>
    <t>Dobias Iskandar</t>
  </si>
  <si>
    <t>Esther Fauzi</t>
  </si>
  <si>
    <t>Gadiza Ganinduto</t>
  </si>
  <si>
    <t>Intan Fauzi</t>
  </si>
  <si>
    <t>Ita Yuliati</t>
  </si>
  <si>
    <t>Ken Anjani</t>
  </si>
  <si>
    <t>Mouna F, Said</t>
  </si>
  <si>
    <t>Otty Fauzi</t>
  </si>
  <si>
    <t>Titi Salim</t>
  </si>
  <si>
    <t>Salim Lan Jaya Liem</t>
  </si>
  <si>
    <t>I/C</t>
  </si>
  <si>
    <t>I</t>
  </si>
  <si>
    <t>HH</t>
  </si>
  <si>
    <t>C</t>
  </si>
  <si>
    <t>Retina</t>
  </si>
  <si>
    <t>Samuel</t>
  </si>
  <si>
    <t>Theresia</t>
  </si>
  <si>
    <t>Yuldi</t>
  </si>
  <si>
    <t>Client</t>
  </si>
  <si>
    <t>Total Payed(CHF)</t>
  </si>
  <si>
    <t>Total Payed (USD)</t>
  </si>
  <si>
    <t>Total Payed(IDR)</t>
  </si>
  <si>
    <t>Not Paid (CHF)</t>
  </si>
  <si>
    <t>Boeschlin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</si>
</sst>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1"/>
      <color theme="6" tint="-0.249977111117893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/>
    <xf numFmtId="4" fontId="0" fillId="2" borderId="0" xfId="0" applyNumberFormat="1" applyFill="1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0" fontId="1" fillId="3" borderId="0" xfId="0" applyFont="1" applyFill="1"/>
    <xf numFmtId="4" fontId="4" fillId="3" borderId="0" xfId="0" applyNumberFormat="1" applyFont="1" applyFill="1"/>
    <xf numFmtId="0" fontId="1" fillId="2" borderId="0" xfId="0" applyFont="1" applyFill="1" applyAlignment="1">
      <alignment horizontal="right"/>
    </xf>
    <xf numFmtId="4" fontId="5" fillId="4" borderId="0" xfId="0" applyNumberFormat="1" applyFont="1" applyFill="1" applyAlignment="1">
      <alignment horizontal="right"/>
    </xf>
    <xf numFmtId="4" fontId="6" fillId="4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/>
    <xf numFmtId="0" fontId="7" fillId="0" borderId="0" xfId="0" applyFont="1"/>
    <xf numFmtId="0" fontId="1" fillId="5" borderId="0" xfId="0" applyFont="1" applyFill="1"/>
    <xf numFmtId="2" fontId="0" fillId="0" borderId="0" xfId="0" applyNumberFormat="1" applyAlignment="1">
      <alignment horizontal="right"/>
    </xf>
    <xf numFmtId="2" fontId="1" fillId="2" borderId="0" xfId="0" applyNumberFormat="1" applyFont="1" applyFill="1" applyAlignment="1">
      <alignment horizontal="right"/>
    </xf>
    <xf numFmtId="4" fontId="1" fillId="5" borderId="0" xfId="0" applyNumberFormat="1" applyFont="1" applyFill="1" applyAlignment="1">
      <alignment horizontal="left"/>
    </xf>
    <xf numFmtId="2" fontId="1" fillId="5" borderId="0" xfId="0" applyNumberFormat="1" applyFont="1" applyFill="1" applyAlignment="1">
      <alignment horizontal="left"/>
    </xf>
    <xf numFmtId="0" fontId="1" fillId="5" borderId="0" xfId="0" applyFont="1" applyFill="1" applyAlignment="1">
      <alignment horizontal="left"/>
    </xf>
    <xf numFmtId="4" fontId="6" fillId="0" borderId="0" xfId="0" applyNumberFormat="1" applyFont="1"/>
  </cellXfs>
  <cellStyles count="1">
    <cellStyle name="Normal" xfId="0" builtinId="0"/>
  </cellStyles>
  <dxfs count="28">
    <dxf>
      <font>
        <color rgb="FF9C0006"/>
      </font>
      <fill>
        <patternFill>
          <bgColor rgb="FFFFC7CE"/>
        </patternFill>
      </fill>
    </dxf>
    <dxf>
      <alignment horizontal="center" vertical="bottom" textRotation="0" wrapText="0" indent="0" justifyLastLine="0" shrinkToFit="0" readingOrder="0"/>
    </dxf>
    <dxf>
      <numFmt numFmtId="4" formatCode="#,##0.00"/>
    </dxf>
    <dxf>
      <alignment horizontal="center" vertical="bottom" textRotation="0" wrapText="0" indent="0" justifyLastLine="0" shrinkToFit="0" readingOrder="0"/>
    </dxf>
    <dxf>
      <numFmt numFmtId="164" formatCode="dd/mm/yyyy;@"/>
      <alignment horizontal="center" vertical="bottom" textRotation="0" wrapText="0" indent="0" justifyLastLine="0" shrinkToFit="0" readingOrder="0"/>
    </dxf>
    <dxf>
      <numFmt numFmtId="164" formatCode="dd/mm/yyyy;@"/>
      <alignment horizontal="center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numFmt numFmtId="164" formatCode="dd/mm/yyyy;@"/>
    </dxf>
    <dxf>
      <numFmt numFmtId="164" formatCode="dd/mm/yyyy;@"/>
    </dxf>
    <dxf>
      <numFmt numFmtId="164" formatCode="dd/mm/yyyy;@"/>
    </dxf>
    <dxf>
      <numFmt numFmtId="164" formatCode="dd/mm/yyyy;@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E5F9F3-2B6B-49AB-88F1-D8FB5C1DCCB4}" name="Tableau1" displayName="Tableau1" ref="A2:I24" totalsRowShown="0" headerRowDxfId="27" dataDxfId="26">
  <autoFilter ref="A2:I24" xr:uid="{5DE5F9F3-2B6B-49AB-88F1-D8FB5C1DCCB4}"/>
  <tableColumns count="9">
    <tableColumn id="1" xr3:uid="{4103C148-BBAB-4402-B9F2-A4419D8D9FC2}" name="Invoice Date" dataDxfId="25" totalsRowDxfId="24"/>
    <tableColumn id="7" xr3:uid="{9DB4AC67-8846-430F-9CEC-843C000F4B00}" name="Payment Date" dataDxfId="23" totalsRowDxfId="22"/>
    <tableColumn id="2" xr3:uid="{B96C3D10-6520-4505-901A-4D48D916D2C0}" name="InvoiceNr"/>
    <tableColumn id="3" xr3:uid="{2FAE4665-3FC8-43A0-9887-35447BB0278A}" name="Amount" dataDxfId="21" totalsRowDxfId="20"/>
    <tableColumn id="4" xr3:uid="{F5B76829-99BF-4B3E-92A4-BBC6605F3D3D}" name="Currency" dataDxfId="19" totalsRowDxfId="18"/>
    <tableColumn id="9" xr3:uid="{04278719-4ADE-4BF1-AADE-49E2AD973056}" name="Name" dataDxfId="17" totalsRowDxfId="16"/>
    <tableColumn id="5" xr3:uid="{9FCEFDCE-94A0-44BA-82B1-3F5B749759B4}" name="Paid" dataDxfId="15" totalsRowDxfId="14"/>
    <tableColumn id="6" xr3:uid="{E87E68FC-8D4B-4011-BA65-48605321D5A7}" name="method of payment" dataDxfId="13" totalsRowDxfId="12"/>
    <tableColumn id="10" xr3:uid="{3168DCB3-723F-49C6-8C15-B128A009EAAD}" name="I/C" dataDxfId="11" totalsRowDxfId="1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B254105-2ED0-4671-AC64-5567B2DECA7E}" name="Tableau3" displayName="Tableau3" ref="K7:O24" totalsRowShown="0">
  <autoFilter ref="K7:O24" xr:uid="{2B254105-2ED0-4671-AC64-5567B2DECA7E}"/>
  <tableColumns count="5">
    <tableColumn id="1" xr3:uid="{56DD34FE-51F2-4B4A-A3D5-1C276B3A1F5B}" name="Client"/>
    <tableColumn id="2" xr3:uid="{A5A87604-77BD-4742-875E-7BAAB7CCF8BB}" name="Not Paid (CHF)" dataDxfId="9">
      <calculatedColumnFormula>SUMIFS(Tableau1[Amount],Tableau1[Name],K8,Tableau1[Paid],"No",Tableau1[Currency],"CHF")</calculatedColumnFormula>
    </tableColumn>
    <tableColumn id="3" xr3:uid="{2638BF61-C61C-4769-98F8-8A0D251E6C93}" name="Total Payed(CHF)" dataDxfId="8">
      <calculatedColumnFormula>SUMIFS(Tableau1[Amount],Tableau1[Currency],"CHF",Tableau1[Paid],"Yes",Tableau1[Name],K8)</calculatedColumnFormula>
    </tableColumn>
    <tableColumn id="4" xr3:uid="{1C34F19C-01D6-4F77-8681-109F8B48A14B}" name="Total Payed (USD)" dataDxfId="7">
      <calculatedColumnFormula>SUMIFS(Tableau1[Amount],Tableau1[Currency],"USD",Tableau1[Paid],"Yes",Tableau1[Name],K8)</calculatedColumnFormula>
    </tableColumn>
    <tableColumn id="5" xr3:uid="{1D39895D-CDE6-4A29-B59B-C967686401C2}" name="Total Payed(IDR)" dataDxfId="6">
      <calculatedColumnFormula>SUMIFS(Tableau1[Amount],Tableau1[Currency],"IDR",Tableau1[Paid],"Yes",Tableau1[Name],K8)</calculatedColumnFormula>
    </tableColumn>
  </tableColumns>
  <tableStyleInfo name="TableStyleLight1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3581AD-85E0-413C-AA22-60F15B51D253}" name="Tableau2" displayName="Tableau2" ref="A2:G3" totalsRowShown="0">
  <autoFilter ref="A2:G3" xr:uid="{BD3581AD-85E0-413C-AA22-60F15B51D253}"/>
  <tableColumns count="7">
    <tableColumn id="1" xr3:uid="{773B1FAB-B8FB-460C-A6E6-D4A3113DD809}" name="Invoice Date" dataDxfId="5"/>
    <tableColumn id="2" xr3:uid="{B5B55E72-3025-48C9-B4F3-D065FA5BBFAE}" name="Payment Date" dataDxfId="4"/>
    <tableColumn id="3" xr3:uid="{7310822C-3E29-40FA-8CBD-862BD6118F3D}" name="InvoiceNr" dataDxfId="3"/>
    <tableColumn id="4" xr3:uid="{0945A493-647D-45FE-8AF6-66233B2B6097}" name="Amount" dataDxfId="2"/>
    <tableColumn id="5" xr3:uid="{FE724EAF-A0C3-452F-868E-2D5BEBE5BB18}" name="Currency"/>
    <tableColumn id="6" xr3:uid="{B0D46D66-DC66-4854-8B58-3EDE5E56755A}" name="Paid" dataDxfId="1"/>
    <tableColumn id="7" xr3:uid="{BFA811B0-AC0F-4286-970C-B305370787B6}" name="method of payment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03ED6-5F24-46A7-B6EC-3BC975CECFFC}">
  <dimension ref="A1:O24"/>
  <sheetViews>
    <sheetView showGridLines="0" tabSelected="1" workbookViewId="0">
      <selection activeCell="M32" sqref="M32"/>
    </sheetView>
  </sheetViews>
  <sheetFormatPr baseColWidth="10" defaultRowHeight="15" x14ac:dyDescent="0.25"/>
  <cols>
    <col min="1" max="1" width="14.5703125" style="3" bestFit="1" customWidth="1"/>
    <col min="2" max="2" width="15.85546875" style="3" bestFit="1" customWidth="1"/>
    <col min="3" max="3" width="13.140625" customWidth="1"/>
    <col min="4" max="4" width="16.28515625" style="7" bestFit="1" customWidth="1"/>
    <col min="5" max="5" width="13.85546875" style="8" bestFit="1" customWidth="1"/>
    <col min="6" max="6" width="19" style="8" bestFit="1" customWidth="1"/>
    <col min="7" max="7" width="9.42578125" style="8" bestFit="1" customWidth="1"/>
    <col min="8" max="8" width="23.28515625" style="8" bestFit="1" customWidth="1"/>
    <col min="9" max="10" width="6.140625" customWidth="1"/>
    <col min="11" max="11" width="19" bestFit="1" customWidth="1"/>
    <col min="12" max="12" width="17.140625" style="4" customWidth="1"/>
    <col min="13" max="13" width="18.7109375" style="25" customWidth="1"/>
    <col min="14" max="14" width="19.140625" style="11" customWidth="1"/>
    <col min="15" max="15" width="18.140625" style="11" customWidth="1"/>
  </cols>
  <sheetData>
    <row r="1" spans="1:15" x14ac:dyDescent="0.25">
      <c r="D1" s="7" cm="1">
        <f t="array" ref="D1">SUBTOTAL(109,amount)</f>
        <v>185648.83</v>
      </c>
    </row>
    <row r="2" spans="1:15" ht="15.75" x14ac:dyDescent="0.25">
      <c r="A2" s="2" t="s">
        <v>11</v>
      </c>
      <c r="B2" s="2" t="s">
        <v>12</v>
      </c>
      <c r="C2" s="1" t="s">
        <v>0</v>
      </c>
      <c r="D2" s="5" t="s">
        <v>1</v>
      </c>
      <c r="E2" s="6" t="s">
        <v>13</v>
      </c>
      <c r="F2" s="6" t="s">
        <v>27</v>
      </c>
      <c r="G2" s="6" t="s">
        <v>2</v>
      </c>
      <c r="H2" s="6" t="s">
        <v>3</v>
      </c>
      <c r="I2" s="19" t="s">
        <v>39</v>
      </c>
      <c r="J2" s="19"/>
      <c r="K2" s="9" t="s">
        <v>15</v>
      </c>
      <c r="L2" s="10"/>
      <c r="M2" s="26" t="s">
        <v>7</v>
      </c>
      <c r="N2" s="15" t="s">
        <v>6</v>
      </c>
      <c r="O2" s="15" t="s">
        <v>16</v>
      </c>
    </row>
    <row r="3" spans="1:15" x14ac:dyDescent="0.25">
      <c r="A3" s="3">
        <v>45292</v>
      </c>
      <c r="B3" s="3">
        <v>45308</v>
      </c>
      <c r="C3" t="s">
        <v>8</v>
      </c>
      <c r="D3" s="7">
        <v>17427</v>
      </c>
      <c r="E3" s="8" t="s">
        <v>9</v>
      </c>
      <c r="F3" s="8" t="s">
        <v>38</v>
      </c>
      <c r="G3" s="8" t="s">
        <v>4</v>
      </c>
      <c r="H3" s="8" t="s">
        <v>7</v>
      </c>
      <c r="I3" s="8" t="s">
        <v>40</v>
      </c>
      <c r="J3" s="8"/>
      <c r="K3" s="13" t="s">
        <v>9</v>
      </c>
      <c r="L3" s="14">
        <f>SUMIF(Tableau1[Currency],K3,Tableau1[Amount])</f>
        <v>180320.89</v>
      </c>
      <c r="M3" s="16">
        <f>SUMIFS(Tableau1[Amount],Tableau1[Currency],"CHF",Tableau1[method of payment],"Bank transfer")</f>
        <v>17427</v>
      </c>
      <c r="N3" s="16">
        <f>SUMIFS(Tableau1[Amount],Tableau1[Currency],"CHF",Tableau1[method of payment],"Cash")</f>
        <v>62306.69</v>
      </c>
      <c r="O3" s="17">
        <f>SUMIFS(Tableau1[Amount],Tableau1[Currency],"CHF",Tableau1[method of payment],"")</f>
        <v>100587.19999999998</v>
      </c>
    </row>
    <row r="4" spans="1:15" x14ac:dyDescent="0.25">
      <c r="A4" s="3">
        <v>45320</v>
      </c>
      <c r="C4" t="s">
        <v>17</v>
      </c>
      <c r="D4" s="7">
        <v>331.25</v>
      </c>
      <c r="E4" s="8" t="s">
        <v>9</v>
      </c>
      <c r="F4" s="8" t="s">
        <v>28</v>
      </c>
      <c r="G4" s="8" t="s">
        <v>10</v>
      </c>
      <c r="I4" s="8" t="s">
        <v>40</v>
      </c>
      <c r="J4" s="8"/>
      <c r="K4" s="13" t="s">
        <v>5</v>
      </c>
      <c r="L4" s="14">
        <f>SUMIF(Tableau1[Currency],K4,Tableau1[Amount])</f>
        <v>482.27000000000004</v>
      </c>
      <c r="M4" s="16">
        <f>SUMIFS(Tableau1[Amount],Tableau1[Currency],"IDR",Tableau1[method of payment],"Bank transfer")</f>
        <v>482.27000000000004</v>
      </c>
      <c r="N4" s="16">
        <f>SUMIFS(Tableau1[Amount],Tableau1[Currency],"IDR",Tableau1[method of payment],"Cash")</f>
        <v>0</v>
      </c>
      <c r="O4" s="17">
        <f>SUMIFS(Tableau1[Amount],Tableau1[Currency],"IDR",Tableau1[method of payment],"")</f>
        <v>0</v>
      </c>
    </row>
    <row r="5" spans="1:15" x14ac:dyDescent="0.25">
      <c r="A5" s="3">
        <v>45320</v>
      </c>
      <c r="C5" t="s">
        <v>18</v>
      </c>
      <c r="D5" s="7">
        <v>2125.15</v>
      </c>
      <c r="E5" s="8" t="s">
        <v>9</v>
      </c>
      <c r="F5" s="8" t="s">
        <v>29</v>
      </c>
      <c r="G5" s="8" t="s">
        <v>10</v>
      </c>
      <c r="I5" s="8" t="s">
        <v>40</v>
      </c>
      <c r="J5" s="8"/>
      <c r="K5" s="13" t="s">
        <v>14</v>
      </c>
      <c r="L5" s="14">
        <f>SUMIF(Tableau1[Currency],K5,Tableau1[Amount])</f>
        <v>4845.67</v>
      </c>
      <c r="M5" s="16">
        <f>SUMIFS(Tableau1[Amount],Tableau1[Currency],"USD",Tableau1[method of payment],"Bank transfer")</f>
        <v>4451.05</v>
      </c>
      <c r="N5" s="16">
        <f>SUMIFS(Tableau1[Amount],Tableau1[Currency],"USD",Tableau1[method of payment],"Cash")</f>
        <v>394.62</v>
      </c>
      <c r="O5" s="17">
        <f>SUMIFS(Tableau1[Amount],Tableau1[Currency],"USD",Tableau1[method of payment],"")</f>
        <v>0</v>
      </c>
    </row>
    <row r="6" spans="1:15" x14ac:dyDescent="0.25">
      <c r="A6" s="3">
        <v>45327</v>
      </c>
      <c r="C6" t="s">
        <v>20</v>
      </c>
      <c r="D6" s="7">
        <v>261.01</v>
      </c>
      <c r="E6" s="8" t="s">
        <v>14</v>
      </c>
      <c r="F6" s="8" t="s">
        <v>30</v>
      </c>
      <c r="G6" s="8" t="s">
        <v>4</v>
      </c>
      <c r="H6" s="8" t="s">
        <v>6</v>
      </c>
      <c r="I6" s="8" t="s">
        <v>40</v>
      </c>
      <c r="J6" s="8"/>
      <c r="L6" s="30">
        <f>SUM(Tableau3[Not Paid (CHF)])</f>
        <v>100587.19999999998</v>
      </c>
      <c r="N6" s="12"/>
    </row>
    <row r="7" spans="1:15" x14ac:dyDescent="0.25">
      <c r="A7" s="3">
        <v>45326</v>
      </c>
      <c r="C7" t="s">
        <v>22</v>
      </c>
      <c r="D7" s="7">
        <v>661.84</v>
      </c>
      <c r="E7" s="8" t="s">
        <v>9</v>
      </c>
      <c r="F7" s="8" t="s">
        <v>31</v>
      </c>
      <c r="G7" s="8" t="s">
        <v>10</v>
      </c>
      <c r="I7" s="8" t="s">
        <v>40</v>
      </c>
      <c r="J7" s="8"/>
      <c r="K7" s="24" t="s">
        <v>47</v>
      </c>
      <c r="L7" s="27" t="s">
        <v>51</v>
      </c>
      <c r="M7" s="28" t="s">
        <v>48</v>
      </c>
      <c r="N7" s="27" t="s">
        <v>49</v>
      </c>
      <c r="O7" s="29" t="s">
        <v>50</v>
      </c>
    </row>
    <row r="8" spans="1:15" x14ac:dyDescent="0.25">
      <c r="A8" s="3">
        <v>45327</v>
      </c>
      <c r="C8" t="s">
        <v>21</v>
      </c>
      <c r="D8" s="7">
        <v>133.61000000000001</v>
      </c>
      <c r="E8" s="8" t="s">
        <v>14</v>
      </c>
      <c r="F8" s="8" t="s">
        <v>32</v>
      </c>
      <c r="G8" s="8" t="s">
        <v>4</v>
      </c>
      <c r="H8" s="8" t="s">
        <v>6</v>
      </c>
      <c r="I8" s="8" t="s">
        <v>40</v>
      </c>
      <c r="J8" s="8"/>
      <c r="K8" s="22" t="s">
        <v>38</v>
      </c>
      <c r="L8" s="12">
        <f>SUMIFS(Tableau1[Amount],Tableau1[Name],K8,Tableau1[Paid],"No",Tableau1[Currency],"CHF")</f>
        <v>0</v>
      </c>
      <c r="M8" s="12">
        <f>SUMIFS(Tableau1[Amount],Tableau1[Currency],"CHF",Tableau1[Paid],"Yes",Tableau1[Name],K8)</f>
        <v>17427</v>
      </c>
      <c r="N8" s="12">
        <f>SUMIFS(Tableau1[Amount],Tableau1[Currency],"USD",Tableau1[Paid],"Yes",Tableau1[Name],K8)</f>
        <v>0</v>
      </c>
      <c r="O8" s="12">
        <f>SUMIFS(Tableau1[Amount],Tableau1[Currency],"IDR",Tableau1[Paid],"Yes",Tableau1[Name],K8)</f>
        <v>0</v>
      </c>
    </row>
    <row r="9" spans="1:15" ht="15.75" x14ac:dyDescent="0.25">
      <c r="A9" s="3">
        <v>45310</v>
      </c>
      <c r="C9" t="s">
        <v>23</v>
      </c>
      <c r="D9" s="7">
        <v>59656.69</v>
      </c>
      <c r="E9" s="8" t="s">
        <v>9</v>
      </c>
      <c r="F9" s="8" t="s">
        <v>33</v>
      </c>
      <c r="G9" s="8" t="s">
        <v>4</v>
      </c>
      <c r="H9" s="8" t="s">
        <v>6</v>
      </c>
      <c r="I9" s="8" t="s">
        <v>40</v>
      </c>
      <c r="J9" s="8"/>
      <c r="K9" s="23" t="s">
        <v>28</v>
      </c>
      <c r="L9" s="12">
        <f>SUMIFS(Tableau1[Amount],Tableau1[Name],K9,Tableau1[Paid],"No",Tableau1[Currency],"CHF")</f>
        <v>331.25</v>
      </c>
      <c r="M9" s="12">
        <f>SUMIFS(Tableau1[Amount],Tableau1[Currency],"CHF",Tableau1[Paid],"Yes",Tableau1[Name],K9)</f>
        <v>0</v>
      </c>
      <c r="N9" s="12">
        <f>SUMIFS(Tableau1[Amount],Tableau1[Currency],"USD",Tableau1[Paid],"Yes",Tableau1[Name],K9)</f>
        <v>0</v>
      </c>
      <c r="O9" s="12">
        <f>SUMIFS(Tableau1[Amount],Tableau1[Currency],"IDR",Tableau1[Paid],"Yes",Tableau1[Name],K9)</f>
        <v>0</v>
      </c>
    </row>
    <row r="10" spans="1:15" x14ac:dyDescent="0.25">
      <c r="A10" s="3">
        <v>45337</v>
      </c>
      <c r="C10" t="s">
        <v>24</v>
      </c>
      <c r="D10" s="7">
        <v>59197.71</v>
      </c>
      <c r="E10" s="8" t="s">
        <v>9</v>
      </c>
      <c r="F10" s="8" t="s">
        <v>34</v>
      </c>
      <c r="G10" s="8" t="s">
        <v>10</v>
      </c>
      <c r="I10" s="8" t="s">
        <v>40</v>
      </c>
      <c r="J10" s="8"/>
      <c r="K10" t="s">
        <v>29</v>
      </c>
      <c r="L10" s="12">
        <f>SUMIFS(Tableau1[Amount],Tableau1[Name],K10,Tableau1[Paid],"No",Tableau1[Currency],"CHF")</f>
        <v>2125.15</v>
      </c>
      <c r="M10" s="12">
        <f>SUMIFS(Tableau1[Amount],Tableau1[Currency],"CHF",Tableau1[Paid],"Yes",Tableau1[Name],K10)</f>
        <v>0</v>
      </c>
      <c r="N10" s="12">
        <f>SUMIFS(Tableau1[Amount],Tableau1[Currency],"USD",Tableau1[Paid],"Yes",Tableau1[Name],K10)</f>
        <v>0</v>
      </c>
      <c r="O10" s="12">
        <f>SUMIFS(Tableau1[Amount],Tableau1[Currency],"IDR",Tableau1[Paid],"Yes",Tableau1[Name],K10)</f>
        <v>0</v>
      </c>
    </row>
    <row r="11" spans="1:15" x14ac:dyDescent="0.25">
      <c r="A11" s="3">
        <v>45320</v>
      </c>
      <c r="C11" t="s">
        <v>25</v>
      </c>
      <c r="D11" s="7">
        <v>28136.84</v>
      </c>
      <c r="E11" s="8" t="s">
        <v>9</v>
      </c>
      <c r="F11" s="8" t="s">
        <v>35</v>
      </c>
      <c r="G11" s="8" t="s">
        <v>10</v>
      </c>
      <c r="I11" s="8" t="s">
        <v>40</v>
      </c>
      <c r="J11" s="8"/>
      <c r="K11" t="s">
        <v>30</v>
      </c>
      <c r="L11" s="12">
        <f>SUMIFS(Tableau1[Amount],Tableau1[Name],K11,Tableau1[Paid],"No",Tableau1[Currency],"CHF")</f>
        <v>0</v>
      </c>
      <c r="M11" s="12">
        <f>SUMIFS(Tableau1[Amount],Tableau1[Currency],"CHF",Tableau1[Paid],"Yes",Tableau1[Name],K11)</f>
        <v>0</v>
      </c>
      <c r="N11" s="12">
        <f>SUMIFS(Tableau1[Amount],Tableau1[Currency],"USD",Tableau1[Paid],"Yes",Tableau1[Name],K11)</f>
        <v>261.01</v>
      </c>
      <c r="O11" s="12">
        <f>SUMIFS(Tableau1[Amount],Tableau1[Currency],"IDR",Tableau1[Paid],"Yes",Tableau1[Name],K11)</f>
        <v>0</v>
      </c>
    </row>
    <row r="12" spans="1:15" x14ac:dyDescent="0.25">
      <c r="A12" s="3">
        <v>45327</v>
      </c>
      <c r="C12" t="s">
        <v>26</v>
      </c>
      <c r="D12" s="7">
        <v>348.66</v>
      </c>
      <c r="E12" s="8" t="s">
        <v>5</v>
      </c>
      <c r="F12" s="8" t="s">
        <v>36</v>
      </c>
      <c r="G12" s="8" t="s">
        <v>4</v>
      </c>
      <c r="H12" s="8" t="s">
        <v>7</v>
      </c>
      <c r="I12" s="8" t="s">
        <v>40</v>
      </c>
      <c r="J12" s="8"/>
      <c r="K12" t="s">
        <v>31</v>
      </c>
      <c r="L12" s="12">
        <f>SUMIFS(Tableau1[Amount],Tableau1[Name],K12,Tableau1[Paid],"No",Tableau1[Currency],"CHF")</f>
        <v>661.84</v>
      </c>
      <c r="M12" s="12">
        <f>SUMIFS(Tableau1[Amount],Tableau1[Currency],"CHF",Tableau1[Paid],"Yes",Tableau1[Name],K12)</f>
        <v>0</v>
      </c>
      <c r="N12" s="12">
        <f>SUMIFS(Tableau1[Amount],Tableau1[Currency],"USD",Tableau1[Paid],"Yes",Tableau1[Name],K12)</f>
        <v>0</v>
      </c>
      <c r="O12" s="12">
        <f>SUMIFS(Tableau1[Amount],Tableau1[Currency],"IDR",Tableau1[Paid],"Yes",Tableau1[Name],K12)</f>
        <v>0</v>
      </c>
    </row>
    <row r="13" spans="1:15" x14ac:dyDescent="0.25">
      <c r="A13" s="3">
        <v>45320</v>
      </c>
      <c r="C13" t="s">
        <v>19</v>
      </c>
      <c r="D13" s="7">
        <v>5283.25</v>
      </c>
      <c r="E13" s="8" t="s">
        <v>9</v>
      </c>
      <c r="F13" s="8" t="s">
        <v>37</v>
      </c>
      <c r="G13" s="8" t="s">
        <v>10</v>
      </c>
      <c r="I13" s="8" t="s">
        <v>40</v>
      </c>
      <c r="J13" s="8"/>
      <c r="K13" t="s">
        <v>32</v>
      </c>
      <c r="L13" s="12">
        <f>SUMIFS(Tableau1[Amount],Tableau1[Name],K13,Tableau1[Paid],"No",Tableau1[Currency],"CHF")</f>
        <v>0</v>
      </c>
      <c r="M13" s="12">
        <f>SUMIFS(Tableau1[Amount],Tableau1[Currency],"CHF",Tableau1[Paid],"Yes",Tableau1[Name],K13)</f>
        <v>0</v>
      </c>
      <c r="N13" s="12">
        <f>SUMIFS(Tableau1[Amount],Tableau1[Currency],"USD",Tableau1[Paid],"Yes",Tableau1[Name],K13)</f>
        <v>133.61000000000001</v>
      </c>
      <c r="O13" s="12">
        <f>SUMIFS(Tableau1[Amount],Tableau1[Currency],"IDR",Tableau1[Paid],"Yes",Tableau1[Name],K13)</f>
        <v>133.61000000000001</v>
      </c>
    </row>
    <row r="14" spans="1:15" x14ac:dyDescent="0.25">
      <c r="A14" s="3">
        <v>45326</v>
      </c>
      <c r="D14" s="7">
        <v>874.5</v>
      </c>
      <c r="E14" s="8" t="s">
        <v>9</v>
      </c>
      <c r="F14" s="8" t="s">
        <v>41</v>
      </c>
      <c r="G14" s="8" t="s">
        <v>10</v>
      </c>
      <c r="I14" s="8" t="s">
        <v>42</v>
      </c>
      <c r="J14" s="8"/>
      <c r="K14" t="s">
        <v>33</v>
      </c>
      <c r="L14" s="12">
        <f>SUMIFS(Tableau1[Amount],Tableau1[Name],K14,Tableau1[Paid],"No",Tableau1[Currency],"CHF")</f>
        <v>0</v>
      </c>
      <c r="M14" s="12">
        <f>SUMIFS(Tableau1[Amount],Tableau1[Currency],"CHF",Tableau1[Paid],"Yes",Tableau1[Name],K14)</f>
        <v>59656.69</v>
      </c>
      <c r="N14" s="12">
        <f>SUMIFS(Tableau1[Amount],Tableau1[Currency],"USD",Tableau1[Paid],"Yes",Tableau1[Name],K14)</f>
        <v>0</v>
      </c>
      <c r="O14" s="12">
        <f>SUMIFS(Tableau1[Amount],Tableau1[Currency],"IDR",Tableau1[Paid],"Yes",Tableau1[Name],K14)</f>
        <v>0</v>
      </c>
    </row>
    <row r="15" spans="1:15" x14ac:dyDescent="0.25">
      <c r="A15" s="3">
        <v>45327</v>
      </c>
      <c r="D15" s="7">
        <v>133.61000000000001</v>
      </c>
      <c r="E15" s="8" t="s">
        <v>5</v>
      </c>
      <c r="F15" s="8" t="s">
        <v>32</v>
      </c>
      <c r="G15" s="8" t="s">
        <v>4</v>
      </c>
      <c r="H15" s="8" t="s">
        <v>7</v>
      </c>
      <c r="I15" s="8" t="s">
        <v>42</v>
      </c>
      <c r="J15" s="8"/>
      <c r="K15" t="s">
        <v>34</v>
      </c>
      <c r="L15" s="12">
        <f>SUMIFS(Tableau1[Amount],Tableau1[Name],K15,Tableau1[Paid],"No",Tableau1[Currency],"CHF")</f>
        <v>59197.71</v>
      </c>
      <c r="M15" s="12">
        <f>SUMIFS(Tableau1[Amount],Tableau1[Currency],"CHF",Tableau1[Paid],"Yes",Tableau1[Name],K15)</f>
        <v>0</v>
      </c>
      <c r="N15" s="12">
        <f>SUMIFS(Tableau1[Amount],Tableau1[Currency],"USD",Tableau1[Paid],"Yes",Tableau1[Name],K15)</f>
        <v>0</v>
      </c>
      <c r="O15" s="12">
        <f>SUMIFS(Tableau1[Amount],Tableau1[Currency],"IDR",Tableau1[Paid],"Yes",Tableau1[Name],K15)</f>
        <v>0</v>
      </c>
    </row>
    <row r="16" spans="1:15" x14ac:dyDescent="0.25">
      <c r="A16" s="3">
        <v>45327</v>
      </c>
      <c r="D16" s="7">
        <v>348.66</v>
      </c>
      <c r="E16" s="8" t="s">
        <v>9</v>
      </c>
      <c r="F16" s="8" t="s">
        <v>36</v>
      </c>
      <c r="G16" s="8" t="s">
        <v>10</v>
      </c>
      <c r="I16" s="8" t="s">
        <v>42</v>
      </c>
      <c r="J16" s="8"/>
      <c r="K16" t="s">
        <v>35</v>
      </c>
      <c r="L16" s="12">
        <f>SUMIFS(Tableau1[Amount],Tableau1[Name],K16,Tableau1[Paid],"No",Tableau1[Currency],"CHF")</f>
        <v>28136.84</v>
      </c>
      <c r="M16" s="12">
        <f>SUMIFS(Tableau1[Amount],Tableau1[Currency],"CHF",Tableau1[Paid],"Yes",Tableau1[Name],K16)</f>
        <v>0</v>
      </c>
      <c r="N16" s="12">
        <f>SUMIFS(Tableau1[Amount],Tableau1[Currency],"USD",Tableau1[Paid],"Yes",Tableau1[Name],K16)</f>
        <v>0</v>
      </c>
      <c r="O16" s="12">
        <f>SUMIFS(Tableau1[Amount],Tableau1[Currency],"IDR",Tableau1[Paid],"Yes",Tableau1[Name],K16)</f>
        <v>0</v>
      </c>
    </row>
    <row r="17" spans="1:15" x14ac:dyDescent="0.25">
      <c r="A17" s="3">
        <v>45326</v>
      </c>
      <c r="D17" s="7">
        <v>315.05</v>
      </c>
      <c r="E17" s="8" t="s">
        <v>14</v>
      </c>
      <c r="F17" s="8" t="s">
        <v>43</v>
      </c>
      <c r="G17" s="8" t="s">
        <v>4</v>
      </c>
      <c r="H17" s="8" t="s">
        <v>7</v>
      </c>
      <c r="I17" s="8" t="s">
        <v>42</v>
      </c>
      <c r="J17" s="8"/>
      <c r="K17" t="s">
        <v>36</v>
      </c>
      <c r="L17" s="12">
        <f>SUMIFS(Tableau1[Amount],Tableau1[Name],K17,Tableau1[Paid],"No",Tableau1[Currency],"CHF")</f>
        <v>348.66</v>
      </c>
      <c r="M17" s="12">
        <f>SUMIFS(Tableau1[Amount],Tableau1[Currency],"CHF",Tableau1[Paid],"Yes",Tableau1[Name],K17)</f>
        <v>0</v>
      </c>
      <c r="N17" s="12">
        <f>SUMIFS(Tableau1[Amount],Tableau1[Currency],"USD",Tableau1[Paid],"Yes",Tableau1[Name],K17)</f>
        <v>0</v>
      </c>
      <c r="O17" s="12">
        <f>SUMIFS(Tableau1[Amount],Tableau1[Currency],"IDR",Tableau1[Paid],"Yes",Tableau1[Name],K17)</f>
        <v>348.66</v>
      </c>
    </row>
    <row r="18" spans="1:15" x14ac:dyDescent="0.25">
      <c r="A18" s="3">
        <v>45326</v>
      </c>
      <c r="D18" s="7">
        <v>585.95000000000005</v>
      </c>
      <c r="E18" s="8" t="s">
        <v>9</v>
      </c>
      <c r="F18" s="8" t="s">
        <v>44</v>
      </c>
      <c r="G18" s="8" t="s">
        <v>10</v>
      </c>
      <c r="I18" s="8" t="s">
        <v>42</v>
      </c>
      <c r="J18" s="8"/>
      <c r="K18" t="s">
        <v>37</v>
      </c>
      <c r="L18" s="12">
        <f>SUMIFS(Tableau1[Amount],Tableau1[Name],K18,Tableau1[Paid],"No",Tableau1[Currency],"CHF")</f>
        <v>5283.25</v>
      </c>
      <c r="M18" s="12">
        <f>SUMIFS(Tableau1[Amount],Tableau1[Currency],"CHF",Tableau1[Paid],"Yes",Tableau1[Name],K18)</f>
        <v>0</v>
      </c>
      <c r="N18" s="12">
        <f>SUMIFS(Tableau1[Amount],Tableau1[Currency],"USD",Tableau1[Paid],"Yes",Tableau1[Name],K18)</f>
        <v>0</v>
      </c>
      <c r="O18" s="12">
        <f>SUMIFS(Tableau1[Amount],Tableau1[Currency],"IDR",Tableau1[Paid],"Yes",Tableau1[Name],K18)</f>
        <v>0</v>
      </c>
    </row>
    <row r="19" spans="1:15" x14ac:dyDescent="0.25">
      <c r="A19" s="3">
        <v>45326</v>
      </c>
      <c r="D19" s="7">
        <v>2341.4</v>
      </c>
      <c r="E19" s="8" t="s">
        <v>9</v>
      </c>
      <c r="F19" s="8" t="s">
        <v>45</v>
      </c>
      <c r="G19" s="8" t="s">
        <v>10</v>
      </c>
      <c r="I19" s="8" t="s">
        <v>42</v>
      </c>
      <c r="J19" s="8"/>
      <c r="K19" t="s">
        <v>41</v>
      </c>
      <c r="L19" s="12">
        <f>SUMIFS(Tableau1[Amount],Tableau1[Name],K19,Tableau1[Paid],"No",Tableau1[Currency],"CHF")</f>
        <v>874.5</v>
      </c>
      <c r="M19" s="12">
        <f>SUMIFS(Tableau1[Amount],Tableau1[Currency],"CHF",Tableau1[Paid],"Yes",Tableau1[Name],K19)</f>
        <v>0</v>
      </c>
      <c r="N19" s="12">
        <f>SUMIFS(Tableau1[Amount],Tableau1[Currency],"USD",Tableau1[Paid],"Yes",Tableau1[Name],K19)</f>
        <v>0</v>
      </c>
      <c r="O19" s="12">
        <f>SUMIFS(Tableau1[Amount],Tableau1[Currency],"IDR",Tableau1[Paid],"Yes",Tableau1[Name],K19)</f>
        <v>0</v>
      </c>
    </row>
    <row r="20" spans="1:15" x14ac:dyDescent="0.25">
      <c r="A20" s="3">
        <v>45327</v>
      </c>
      <c r="D20" s="7">
        <v>700.65</v>
      </c>
      <c r="E20" s="8" t="s">
        <v>9</v>
      </c>
      <c r="F20" s="8" t="s">
        <v>46</v>
      </c>
      <c r="G20" s="8" t="s">
        <v>10</v>
      </c>
      <c r="I20" s="8" t="s">
        <v>42</v>
      </c>
      <c r="J20" s="8"/>
      <c r="K20" t="s">
        <v>43</v>
      </c>
      <c r="L20" s="12">
        <f>SUMIFS(Tableau1[Amount],Tableau1[Name],K20,Tableau1[Paid],"No",Tableau1[Currency],"CHF")</f>
        <v>0</v>
      </c>
      <c r="M20" s="12">
        <f>SUMIFS(Tableau1[Amount],Tableau1[Currency],"CHF",Tableau1[Paid],"Yes",Tableau1[Name],K20)</f>
        <v>1200</v>
      </c>
      <c r="N20" s="12">
        <f>SUMIFS(Tableau1[Amount],Tableau1[Currency],"USD",Tableau1[Paid],"Yes",Tableau1[Name],K20)</f>
        <v>551.04999999999995</v>
      </c>
      <c r="O20" s="12">
        <f>SUMIFS(Tableau1[Amount],Tableau1[Currency],"IDR",Tableau1[Paid],"Yes",Tableau1[Name],K20)</f>
        <v>0</v>
      </c>
    </row>
    <row r="21" spans="1:15" x14ac:dyDescent="0.25">
      <c r="A21" s="3">
        <v>45292</v>
      </c>
      <c r="D21" s="7">
        <v>1200</v>
      </c>
      <c r="E21" s="8" t="s">
        <v>9</v>
      </c>
      <c r="F21" s="8" t="s">
        <v>43</v>
      </c>
      <c r="G21" s="8" t="s">
        <v>4</v>
      </c>
      <c r="H21" s="8" t="s">
        <v>6</v>
      </c>
      <c r="I21" s="8"/>
      <c r="K21" t="s">
        <v>44</v>
      </c>
      <c r="L21" s="12">
        <f>SUMIFS(Tableau1[Amount],Tableau1[Name],K21,Tableau1[Paid],"No",Tableau1[Currency],"CHF")</f>
        <v>585.95000000000005</v>
      </c>
      <c r="M21" s="12">
        <f>SUMIFS(Tableau1[Amount],Tableau1[Currency],"CHF",Tableau1[Paid],"Yes",Tableau1[Name],K21)</f>
        <v>0</v>
      </c>
      <c r="N21" s="12">
        <f>SUMIFS(Tableau1[Amount],Tableau1[Currency],"USD",Tableau1[Paid],"Yes",Tableau1[Name],K21)</f>
        <v>0</v>
      </c>
      <c r="O21" s="12">
        <f>SUMIFS(Tableau1[Amount],Tableau1[Currency],"IDR",Tableau1[Paid],"Yes",Tableau1[Name],K21)</f>
        <v>0</v>
      </c>
    </row>
    <row r="22" spans="1:15" x14ac:dyDescent="0.25">
      <c r="A22" s="3">
        <v>45293</v>
      </c>
      <c r="D22" s="7">
        <v>236</v>
      </c>
      <c r="E22" s="8" t="s">
        <v>14</v>
      </c>
      <c r="F22" s="8" t="s">
        <v>43</v>
      </c>
      <c r="G22" s="8" t="s">
        <v>4</v>
      </c>
      <c r="H22" s="8" t="s">
        <v>7</v>
      </c>
      <c r="I22" s="8"/>
      <c r="K22" t="s">
        <v>45</v>
      </c>
      <c r="L22" s="12">
        <f>SUMIFS(Tableau1[Amount],Tableau1[Name],K22,Tableau1[Paid],"No",Tableau1[Currency],"CHF")</f>
        <v>2341.4</v>
      </c>
      <c r="M22" s="12">
        <f>SUMIFS(Tableau1[Amount],Tableau1[Currency],"CHF",Tableau1[Paid],"Yes",Tableau1[Name],K22)</f>
        <v>0</v>
      </c>
      <c r="N22" s="12">
        <f>SUMIFS(Tableau1[Amount],Tableau1[Currency],"USD",Tableau1[Paid],"Yes",Tableau1[Name],K22)</f>
        <v>0</v>
      </c>
      <c r="O22" s="12">
        <f>SUMIFS(Tableau1[Amount],Tableau1[Currency],"IDR",Tableau1[Paid],"Yes",Tableau1[Name],K22)</f>
        <v>0</v>
      </c>
    </row>
    <row r="23" spans="1:15" x14ac:dyDescent="0.25">
      <c r="A23" s="3">
        <v>45330</v>
      </c>
      <c r="B23" s="3">
        <v>45374</v>
      </c>
      <c r="D23" s="7">
        <v>1450</v>
      </c>
      <c r="E23" s="8" t="s">
        <v>9</v>
      </c>
      <c r="F23" s="8" t="s">
        <v>52</v>
      </c>
      <c r="G23" s="8" t="s">
        <v>4</v>
      </c>
      <c r="H23" s="8" t="s">
        <v>6</v>
      </c>
      <c r="I23" s="8"/>
      <c r="K23" t="s">
        <v>46</v>
      </c>
      <c r="L23" s="12">
        <f>SUMIFS(Tableau1[Amount],Tableau1[Name],K23,Tableau1[Paid],"No",Tableau1[Currency],"CHF")</f>
        <v>700.65</v>
      </c>
      <c r="M23" s="12">
        <f>SUMIFS(Tableau1[Amount],Tableau1[Currency],"CHF",Tableau1[Paid],"Yes",Tableau1[Name],K23)</f>
        <v>0</v>
      </c>
      <c r="N23" s="12">
        <f>SUMIFS(Tableau1[Amount],Tableau1[Currency],"USD",Tableau1[Paid],"Yes",Tableau1[Name],K23)</f>
        <v>0</v>
      </c>
      <c r="O23" s="12">
        <f>SUMIFS(Tableau1[Amount],Tableau1[Currency],"IDR",Tableau1[Paid],"Yes",Tableau1[Name],K23)</f>
        <v>0</v>
      </c>
    </row>
    <row r="24" spans="1:15" x14ac:dyDescent="0.25">
      <c r="A24" s="3">
        <v>45331</v>
      </c>
      <c r="D24" s="7">
        <v>3900</v>
      </c>
      <c r="E24" s="8" t="s">
        <v>14</v>
      </c>
      <c r="F24" s="8" t="s">
        <v>52</v>
      </c>
      <c r="G24" s="8" t="s">
        <v>4</v>
      </c>
      <c r="H24" s="8" t="s">
        <v>7</v>
      </c>
      <c r="I24" s="8"/>
      <c r="K24" t="s">
        <v>52</v>
      </c>
      <c r="L24" s="12">
        <f>SUMIFS(Tableau1[Amount],Tableau1[Name],K24,Tableau1[Paid],"No",Tableau1[Currency],"CHF")</f>
        <v>0</v>
      </c>
      <c r="M24" s="12">
        <f>SUMIFS(Tableau1[Amount],Tableau1[Currency],"CHF",Tableau1[Paid],"Yes",Tableau1[Name],K24)</f>
        <v>1450</v>
      </c>
      <c r="N24" s="12">
        <f>SUMIFS(Tableau1[Amount],Tableau1[Currency],"USD",Tableau1[Paid],"Yes",Tableau1[Name],K24)</f>
        <v>3900</v>
      </c>
      <c r="O24" s="12">
        <f>SUMIFS(Tableau1[Amount],Tableau1[Currency],"IDR",Tableau1[Paid],"Yes",Tableau1[Name],K24)</f>
        <v>0</v>
      </c>
    </row>
  </sheetData>
  <phoneticPr fontId="2" type="noConversion"/>
  <conditionalFormatting sqref="L8:L24">
    <cfRule type="cellIs" dxfId="0" priority="1" operator="greaterThan">
      <formula>0</formula>
    </cfRule>
  </conditionalFormatting>
  <dataValidations count="3">
    <dataValidation type="list" allowBlank="1" showInputMessage="1" showErrorMessage="1" sqref="G3:G1048576" xr:uid="{1286BF3A-6990-4473-B953-65DDC5CA8413}">
      <formula1>"Yes, No"</formula1>
    </dataValidation>
    <dataValidation type="list" allowBlank="1" showInputMessage="1" showErrorMessage="1" sqref="E3:E1048576" xr:uid="{7B7920B1-2A77-4827-B8A4-71CE1895F8DA}">
      <formula1>"CHF, IDR, USD"</formula1>
    </dataValidation>
    <dataValidation type="list" allowBlank="1" showInputMessage="1" showErrorMessage="1" sqref="H1:H1048576" xr:uid="{2AC43FD6-5B51-4D19-A404-44716C38C51C}">
      <formula1>"Bank transfer, Cash"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90712-1D3A-466A-8F2C-A7F8FA2C604D}">
  <dimension ref="A2:G2"/>
  <sheetViews>
    <sheetView workbookViewId="0">
      <selection activeCell="G14" sqref="G14"/>
    </sheetView>
  </sheetViews>
  <sheetFormatPr baseColWidth="10" defaultRowHeight="15" x14ac:dyDescent="0.25"/>
  <cols>
    <col min="1" max="1" width="14.42578125" style="18" customWidth="1"/>
    <col min="2" max="2" width="15.7109375" style="18" customWidth="1"/>
    <col min="3" max="3" width="11.85546875" style="8" customWidth="1"/>
    <col min="4" max="4" width="11.42578125" style="4"/>
    <col min="6" max="6" width="11.42578125" style="8"/>
    <col min="7" max="7" width="20.7109375" customWidth="1"/>
  </cols>
  <sheetData>
    <row r="2" spans="1:7" x14ac:dyDescent="0.25">
      <c r="A2" s="20" t="s">
        <v>11</v>
      </c>
      <c r="B2" s="20" t="s">
        <v>12</v>
      </c>
      <c r="C2" s="21" t="s">
        <v>0</v>
      </c>
      <c r="D2" s="4" t="s">
        <v>1</v>
      </c>
      <c r="E2" t="s">
        <v>13</v>
      </c>
      <c r="F2" s="8" t="s">
        <v>2</v>
      </c>
      <c r="G2" t="s">
        <v>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Income2024</vt:lpstr>
      <vt:lpstr>Invoices12.2023</vt:lpstr>
      <vt:lpstr>amount</vt:lpstr>
      <vt:lpstr>chf</vt:lpstr>
      <vt:lpstr>currency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2024-02-26T12:00:35Z</dcterms:created>
  <dcterms:modified xsi:type="dcterms:W3CDTF">2024-03-29T16:55:49Z</dcterms:modified>
</cp:coreProperties>
</file>