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5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Perso\Lily\Belano medical\"/>
    </mc:Choice>
  </mc:AlternateContent>
  <xr:revisionPtr revIDLastSave="0" documentId="13_ncr:1_{59B34C93-5846-40A7-B0AA-6391F753525C}" xr6:coauthVersionLast="47" xr6:coauthVersionMax="47" xr10:uidLastSave="{00000000-0000-0000-0000-000000000000}"/>
  <bookViews>
    <workbookView xWindow="588" yWindow="504" windowWidth="20220" windowHeight="11904" firstSheet="4" activeTab="9" xr2:uid="{A90EAECF-001B-4ECB-AEE4-53A0F6EFB209}"/>
  </bookViews>
  <sheets>
    <sheet name="Costs2" sheetId="5" r:id="rId1"/>
    <sheet name="Serum" sheetId="7" r:id="rId2"/>
    <sheet name="Emulsion" sheetId="10" r:id="rId3"/>
    <sheet name="Rich Lotion" sheetId="11" r:id="rId4"/>
    <sheet name="Feuil1" sheetId="16" r:id="rId5"/>
    <sheet name="Fix-Costs" sheetId="12" r:id="rId6"/>
    <sheet name="Shipping-Costs" sheetId="13" r:id="rId7"/>
    <sheet name="Currencies" sheetId="14" r:id="rId8"/>
    <sheet name="Calcul Profit" sheetId="15" r:id="rId9"/>
    <sheet name="Calcul 05.11.24" sheetId="17" r:id="rId10"/>
  </sheets>
  <definedNames>
    <definedName name="AmountFC">Tableau2[Amount(IDR)]</definedName>
    <definedName name="AmountSC">Tableau3[Amount(IDR)]</definedName>
    <definedName name="CHF_IDR">Currencies!$D$2</definedName>
    <definedName name="CostType" localSheetId="2">#REF!</definedName>
    <definedName name="CostType" localSheetId="3">#REF!</definedName>
    <definedName name="CostType">#REF!</definedName>
    <definedName name="EUR_IDR">Currencies!$D$3</definedName>
    <definedName name="Location">'Fix-Costs'!$C$2</definedName>
    <definedName name="SocialMedia">'Fix-Costs'!$C$5</definedName>
    <definedName name="TypeFC">Tableau2[Description]</definedName>
    <definedName name="TypeSC">Tableau2[Description]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7" l="1"/>
  <c r="I12" i="17" s="1"/>
  <c r="C11" i="17"/>
  <c r="F11" i="17" s="1"/>
  <c r="H11" i="17" s="1"/>
  <c r="I10" i="17"/>
  <c r="F10" i="17"/>
  <c r="H10" i="17" s="1"/>
  <c r="E10" i="17"/>
  <c r="C10" i="17"/>
  <c r="I9" i="17"/>
  <c r="C9" i="17"/>
  <c r="F9" i="17" s="1"/>
  <c r="H9" i="17" s="1"/>
  <c r="H12" i="17" s="1"/>
  <c r="N6" i="17"/>
  <c r="N5" i="17"/>
  <c r="I5" i="17"/>
  <c r="J5" i="17" s="1"/>
  <c r="H5" i="17"/>
  <c r="E5" i="17"/>
  <c r="F5" i="17" s="1"/>
  <c r="D5" i="17"/>
  <c r="C5" i="17"/>
  <c r="N4" i="17"/>
  <c r="I4" i="17"/>
  <c r="E4" i="17" s="1"/>
  <c r="F4" i="17" s="1"/>
  <c r="H4" i="17"/>
  <c r="C4" i="17"/>
  <c r="D4" i="17" s="1"/>
  <c r="N3" i="17"/>
  <c r="I3" i="17"/>
  <c r="H3" i="17" s="1"/>
  <c r="C3" i="17"/>
  <c r="D3" i="17" s="1"/>
  <c r="N13" i="15"/>
  <c r="N11" i="15"/>
  <c r="N12" i="15"/>
  <c r="N10" i="15"/>
  <c r="I19" i="15"/>
  <c r="I17" i="15"/>
  <c r="I18" i="15"/>
  <c r="I16" i="15"/>
  <c r="H19" i="15"/>
  <c r="H17" i="15"/>
  <c r="H18" i="15"/>
  <c r="H16" i="15"/>
  <c r="F17" i="15"/>
  <c r="F18" i="15"/>
  <c r="F16" i="15"/>
  <c r="M13" i="15"/>
  <c r="M11" i="15"/>
  <c r="M12" i="15"/>
  <c r="M10" i="15"/>
  <c r="E17" i="15"/>
  <c r="E18" i="15"/>
  <c r="E16" i="15"/>
  <c r="C18" i="15"/>
  <c r="C17" i="15"/>
  <c r="C16" i="15"/>
  <c r="I12" i="15"/>
  <c r="J12" i="15" s="1"/>
  <c r="C12" i="15"/>
  <c r="D12" i="15" s="1"/>
  <c r="I11" i="15"/>
  <c r="H11" i="15" s="1"/>
  <c r="C11" i="15"/>
  <c r="D11" i="15" s="1"/>
  <c r="I10" i="15"/>
  <c r="J10" i="15" s="1"/>
  <c r="C10" i="15"/>
  <c r="D10" i="15" s="1"/>
  <c r="G4" i="17" l="1"/>
  <c r="M4" i="17"/>
  <c r="M5" i="17"/>
  <c r="G5" i="17"/>
  <c r="J4" i="17"/>
  <c r="E9" i="17"/>
  <c r="E3" i="17"/>
  <c r="F3" i="17" s="1"/>
  <c r="E11" i="17"/>
  <c r="J3" i="17"/>
  <c r="H12" i="15"/>
  <c r="E12" i="15" s="1"/>
  <c r="F12" i="15" s="1"/>
  <c r="G12" i="15"/>
  <c r="J11" i="15"/>
  <c r="H10" i="15"/>
  <c r="E10" i="15" s="1"/>
  <c r="F10" i="15" s="1"/>
  <c r="E11" i="15"/>
  <c r="F11" i="15" s="1"/>
  <c r="G3" i="17" l="1"/>
  <c r="M3" i="17"/>
  <c r="M6" i="17" s="1"/>
  <c r="G10" i="15"/>
  <c r="G11" i="15"/>
  <c r="A15" i="16" l="1"/>
  <c r="A14" i="16"/>
  <c r="A11" i="16"/>
  <c r="A10" i="16"/>
  <c r="A7" i="16"/>
  <c r="A6" i="16"/>
  <c r="C14" i="16"/>
  <c r="C15" i="16" s="1"/>
  <c r="D13" i="16"/>
  <c r="C10" i="16"/>
  <c r="D10" i="16" s="1"/>
  <c r="D9" i="16"/>
  <c r="C6" i="16"/>
  <c r="C7" i="16" s="1"/>
  <c r="D5" i="16"/>
  <c r="C20" i="7"/>
  <c r="B3" i="15" s="1"/>
  <c r="C3" i="15" s="1"/>
  <c r="D3" i="15" s="1"/>
  <c r="B5" i="15"/>
  <c r="C5" i="15" s="1"/>
  <c r="D5" i="15" s="1"/>
  <c r="B4" i="15"/>
  <c r="M6" i="15"/>
  <c r="L4" i="15"/>
  <c r="L5" i="15"/>
  <c r="L3" i="15"/>
  <c r="I4" i="15"/>
  <c r="J4" i="15" s="1"/>
  <c r="I5" i="15"/>
  <c r="J5" i="15" s="1"/>
  <c r="I3" i="15"/>
  <c r="H3" i="15" s="1"/>
  <c r="E3" i="15" s="1"/>
  <c r="C4" i="15"/>
  <c r="D4" i="15" s="1"/>
  <c r="C12" i="11"/>
  <c r="C12" i="10"/>
  <c r="C12" i="7"/>
  <c r="D6" i="16" l="1"/>
  <c r="D7" i="16" s="1"/>
  <c r="D14" i="16"/>
  <c r="D11" i="16"/>
  <c r="F11" i="16" s="1"/>
  <c r="C11" i="16"/>
  <c r="F7" i="16"/>
  <c r="D15" i="16"/>
  <c r="F15" i="16" s="1"/>
  <c r="H5" i="15"/>
  <c r="E5" i="15" s="1"/>
  <c r="F5" i="15" s="1"/>
  <c r="H4" i="15"/>
  <c r="E4" i="15" s="1"/>
  <c r="F4" i="15" s="1"/>
  <c r="F3" i="15"/>
  <c r="J3" i="15"/>
  <c r="N4" i="15" l="1"/>
  <c r="O4" i="15" s="1"/>
  <c r="P4" i="15" s="1"/>
  <c r="G4" i="15"/>
  <c r="N3" i="15"/>
  <c r="O3" i="15" s="1"/>
  <c r="P3" i="15" s="1"/>
  <c r="G3" i="15"/>
  <c r="N5" i="15"/>
  <c r="O5" i="15" s="1"/>
  <c r="P5" i="15" s="1"/>
  <c r="G5" i="15"/>
  <c r="O6" i="15"/>
  <c r="N6" i="15"/>
  <c r="K4" i="7" l="1"/>
  <c r="K4" i="10"/>
  <c r="L4" i="10" s="1"/>
  <c r="K4" i="11"/>
  <c r="L4" i="11" s="1"/>
  <c r="B30" i="7"/>
  <c r="C30" i="7"/>
  <c r="C1" i="7"/>
  <c r="C1" i="10"/>
  <c r="C1" i="11"/>
  <c r="C2" i="11"/>
  <c r="C2" i="10"/>
  <c r="C2" i="7"/>
  <c r="C9" i="13"/>
  <c r="C8" i="13"/>
  <c r="M6" i="5"/>
  <c r="G4" i="13"/>
  <c r="F7" i="12"/>
  <c r="G7" i="7"/>
  <c r="G2" i="7"/>
  <c r="L3" i="7" s="1"/>
  <c r="G7" i="10"/>
  <c r="G2" i="10"/>
  <c r="L3" i="10" s="1"/>
  <c r="G7" i="11"/>
  <c r="G2" i="11"/>
  <c r="L3" i="11" s="1"/>
  <c r="E7" i="12"/>
  <c r="E30" i="7" l="1"/>
  <c r="F30" i="7" s="1"/>
  <c r="L4" i="7"/>
  <c r="F7" i="13"/>
  <c r="G7" i="13" s="1"/>
  <c r="D7" i="13"/>
  <c r="D6" i="13"/>
  <c r="D5" i="13"/>
  <c r="D4" i="13"/>
  <c r="D3" i="13"/>
  <c r="D2" i="13"/>
  <c r="D8" i="13" l="1"/>
  <c r="D9" i="13"/>
  <c r="C3" i="11" l="1"/>
  <c r="M8" i="7"/>
  <c r="B16" i="7" s="1"/>
  <c r="M8" i="10"/>
  <c r="B16" i="10" s="1"/>
  <c r="M9" i="11"/>
  <c r="B16" i="11" s="1"/>
  <c r="B25" i="10"/>
  <c r="B26" i="10"/>
  <c r="B27" i="10"/>
  <c r="B28" i="10"/>
  <c r="B29" i="10"/>
  <c r="C25" i="10"/>
  <c r="C26" i="10"/>
  <c r="C27" i="10"/>
  <c r="C28" i="10"/>
  <c r="C29" i="10"/>
  <c r="C24" i="10"/>
  <c r="B24" i="10"/>
  <c r="D5" i="7"/>
  <c r="D6" i="7" s="1"/>
  <c r="C5" i="7"/>
  <c r="L7" i="7" s="1"/>
  <c r="C6" i="7" s="1"/>
  <c r="C5" i="10"/>
  <c r="C5" i="11"/>
  <c r="B29" i="11"/>
  <c r="C29" i="11"/>
  <c r="B29" i="7"/>
  <c r="C29" i="7"/>
  <c r="C28" i="7"/>
  <c r="B28" i="7"/>
  <c r="C27" i="7"/>
  <c r="B27" i="7"/>
  <c r="C26" i="7"/>
  <c r="B26" i="7"/>
  <c r="C25" i="7"/>
  <c r="B25" i="7"/>
  <c r="C24" i="7"/>
  <c r="B24" i="7"/>
  <c r="C28" i="11"/>
  <c r="B28" i="11"/>
  <c r="C25" i="11"/>
  <c r="C26" i="11"/>
  <c r="C27" i="11"/>
  <c r="C24" i="11"/>
  <c r="B25" i="11"/>
  <c r="B26" i="11"/>
  <c r="B27" i="11"/>
  <c r="B24" i="11"/>
  <c r="C18" i="7" l="1"/>
  <c r="G30" i="7"/>
  <c r="E28" i="7"/>
  <c r="F28" i="7" s="1"/>
  <c r="G28" i="7" s="1"/>
  <c r="E29" i="7"/>
  <c r="F29" i="7" s="1"/>
  <c r="G29" i="7" s="1"/>
  <c r="D10" i="7"/>
  <c r="D9" i="7"/>
  <c r="D11" i="7"/>
  <c r="D18" i="7"/>
  <c r="B9" i="7"/>
  <c r="C9" i="7" s="1"/>
  <c r="B10" i="7"/>
  <c r="C10" i="7" s="1"/>
  <c r="B11" i="7"/>
  <c r="C11" i="7" s="1"/>
  <c r="L7" i="11"/>
  <c r="C6" i="11" s="1"/>
  <c r="E11" i="10"/>
  <c r="E9" i="10"/>
  <c r="E10" i="10"/>
  <c r="E18" i="10"/>
  <c r="C7" i="10"/>
  <c r="C7" i="7"/>
  <c r="C7" i="11"/>
  <c r="L7" i="10"/>
  <c r="C6" i="10" s="1"/>
  <c r="C18" i="10" s="1"/>
  <c r="E28" i="11"/>
  <c r="F28" i="11" s="1"/>
  <c r="E29" i="10"/>
  <c r="F29" i="10" s="1"/>
  <c r="G29" i="10" s="1"/>
  <c r="E27" i="7"/>
  <c r="F27" i="7" s="1"/>
  <c r="G27" i="7" s="1"/>
  <c r="E24" i="11"/>
  <c r="F24" i="11" s="1"/>
  <c r="E29" i="11"/>
  <c r="F29" i="11" s="1"/>
  <c r="E27" i="11"/>
  <c r="F27" i="11" s="1"/>
  <c r="E26" i="11"/>
  <c r="F26" i="11" s="1"/>
  <c r="E25" i="11"/>
  <c r="F25" i="11" s="1"/>
  <c r="E24" i="10"/>
  <c r="F24" i="10" s="1"/>
  <c r="E28" i="10"/>
  <c r="F28" i="10" s="1"/>
  <c r="G28" i="10" s="1"/>
  <c r="E26" i="10"/>
  <c r="F26" i="10" s="1"/>
  <c r="G26" i="10" s="1"/>
  <c r="E27" i="10"/>
  <c r="F27" i="10" s="1"/>
  <c r="G27" i="10" s="1"/>
  <c r="E26" i="7"/>
  <c r="F26" i="7" s="1"/>
  <c r="G26" i="7" s="1"/>
  <c r="E25" i="7"/>
  <c r="F25" i="7" s="1"/>
  <c r="G25" i="7" s="1"/>
  <c r="E24" i="7"/>
  <c r="F24" i="7" s="1"/>
  <c r="E25" i="10"/>
  <c r="F25" i="10" s="1"/>
  <c r="G25" i="10" s="1"/>
  <c r="F32" i="7" l="1"/>
  <c r="G24" i="7"/>
  <c r="G32" i="7" s="1"/>
  <c r="G24" i="10"/>
  <c r="G31" i="10" s="1"/>
  <c r="F31" i="10"/>
  <c r="G24" i="11"/>
  <c r="G31" i="11" s="1"/>
  <c r="F31" i="11"/>
  <c r="B10" i="11"/>
  <c r="C10" i="11" s="1"/>
  <c r="G25" i="11"/>
  <c r="G26" i="11"/>
  <c r="G27" i="11"/>
  <c r="G28" i="11"/>
  <c r="G29" i="11"/>
  <c r="C13" i="7"/>
  <c r="C18" i="11"/>
  <c r="B9" i="11"/>
  <c r="C9" i="11" s="1"/>
  <c r="B11" i="11"/>
  <c r="C11" i="11" s="1"/>
  <c r="B9" i="10"/>
  <c r="C9" i="10" s="1"/>
  <c r="B10" i="10"/>
  <c r="C10" i="10" s="1"/>
  <c r="B11" i="10"/>
  <c r="C11" i="10" s="1"/>
  <c r="C13" i="10"/>
  <c r="C13" i="11"/>
  <c r="K34" i="5" l="1"/>
  <c r="B17" i="11"/>
  <c r="C17" i="11" s="1"/>
  <c r="C16" i="11"/>
  <c r="B17" i="10"/>
  <c r="C17" i="10" s="1"/>
  <c r="C16" i="10"/>
  <c r="C20" i="10" s="1"/>
  <c r="C3" i="10"/>
  <c r="B17" i="7"/>
  <c r="C17" i="7" s="1"/>
  <c r="C16" i="7"/>
  <c r="C3" i="7"/>
  <c r="F10" i="7" l="1"/>
  <c r="E20" i="10"/>
  <c r="F17" i="11"/>
  <c r="C20" i="11"/>
  <c r="F16" i="11"/>
  <c r="F15" i="11"/>
  <c r="F18" i="11"/>
  <c r="F10" i="11"/>
  <c r="F13" i="7"/>
  <c r="F16" i="7"/>
  <c r="F18" i="7"/>
  <c r="F15" i="7"/>
  <c r="F11" i="7"/>
  <c r="F17" i="7"/>
  <c r="F14" i="7"/>
  <c r="F9" i="7"/>
  <c r="F12" i="7"/>
  <c r="F13" i="10"/>
  <c r="F18" i="10"/>
  <c r="F10" i="10"/>
  <c r="F16" i="10"/>
  <c r="F11" i="10"/>
  <c r="F15" i="10"/>
  <c r="F12" i="10"/>
  <c r="F9" i="10"/>
  <c r="F17" i="10"/>
  <c r="F14" i="10"/>
  <c r="F14" i="11"/>
  <c r="F13" i="11"/>
  <c r="F12" i="11"/>
  <c r="F9" i="11"/>
  <c r="F11" i="11"/>
  <c r="E20" i="7" l="1"/>
  <c r="D20" i="7"/>
  <c r="E20" i="11"/>
  <c r="D20" i="11"/>
  <c r="D20" i="10"/>
  <c r="K22" i="5"/>
  <c r="K23" i="5"/>
  <c r="K24" i="5"/>
  <c r="K25" i="5"/>
  <c r="K26" i="5"/>
  <c r="K27" i="5"/>
  <c r="K28" i="5"/>
  <c r="K29" i="5"/>
  <c r="K30" i="5"/>
  <c r="K31" i="5"/>
  <c r="K32" i="5"/>
  <c r="K33" i="5"/>
  <c r="K12" i="5"/>
  <c r="K11" i="5"/>
  <c r="K8" i="5"/>
  <c r="K7" i="5"/>
  <c r="K9" i="5" l="1"/>
  <c r="K16" i="5" s="1"/>
  <c r="K17" i="5" s="1"/>
</calcChain>
</file>

<file path=xl/sharedStrings.xml><?xml version="1.0" encoding="utf-8"?>
<sst xmlns="http://schemas.openxmlformats.org/spreadsheetml/2006/main" count="450" uniqueCount="204">
  <si>
    <t>Serum 15ml</t>
  </si>
  <si>
    <t>Cost type</t>
  </si>
  <si>
    <t>Variable/fix</t>
  </si>
  <si>
    <t>Currencie</t>
  </si>
  <si>
    <t>Swiss Mircobiome Skincare</t>
  </si>
  <si>
    <t>Shipping DE-SG Skincare</t>
  </si>
  <si>
    <t>Bottles -Packaging</t>
  </si>
  <si>
    <t>Shipping IT - SG bottles</t>
  </si>
  <si>
    <t>Social media @12jt IDR</t>
  </si>
  <si>
    <t>Shipping SG - ID Skincare</t>
  </si>
  <si>
    <t>Shipping SG - ID bottles</t>
  </si>
  <si>
    <t>HAKI Unicare</t>
  </si>
  <si>
    <t>Registrasi BPOM</t>
  </si>
  <si>
    <t>AC All in (freight +custom7kg) 7kg x 250000</t>
  </si>
  <si>
    <t>Maklon</t>
  </si>
  <si>
    <t>Printing botol</t>
  </si>
  <si>
    <t>Printing box</t>
  </si>
  <si>
    <t>Registrasi BPOM 2 tanpa microbiotics</t>
  </si>
  <si>
    <t>Renovation cost, furniture &amp; AC</t>
  </si>
  <si>
    <t>Rental per year</t>
  </si>
  <si>
    <t>Status</t>
  </si>
  <si>
    <t>Paid</t>
  </si>
  <si>
    <t>Coming</t>
  </si>
  <si>
    <t>fix</t>
  </si>
  <si>
    <t>Variable</t>
  </si>
  <si>
    <t>IDR</t>
  </si>
  <si>
    <t>Marketing</t>
  </si>
  <si>
    <t>Marketing1</t>
  </si>
  <si>
    <t>Marketing2</t>
  </si>
  <si>
    <t>Packaging</t>
  </si>
  <si>
    <t>Service</t>
  </si>
  <si>
    <t>Various costs</t>
  </si>
  <si>
    <t>Price Agent, Pharmacy</t>
  </si>
  <si>
    <t>Filling bottle</t>
  </si>
  <si>
    <t>Total Fixed Costs</t>
  </si>
  <si>
    <t>Total Variable Costs</t>
  </si>
  <si>
    <t>Total Costs</t>
  </si>
  <si>
    <t>Total Fixed Costs Paid</t>
  </si>
  <si>
    <t>Total Fixed Costs Coming</t>
  </si>
  <si>
    <t>Qty of Bottles:</t>
  </si>
  <si>
    <t xml:space="preserve">Qty of Serum: </t>
  </si>
  <si>
    <t xml:space="preserve">Qty of Emultion: </t>
  </si>
  <si>
    <t xml:space="preserve">Qty of Lotion: </t>
  </si>
  <si>
    <t>Costs per Bottle:</t>
  </si>
  <si>
    <t>Costs per Bottle (CHF):</t>
  </si>
  <si>
    <t xml:space="preserve">Change CHF to IDR:  </t>
  </si>
  <si>
    <t xml:space="preserve">This price is calculated based on the "Total Costs"  </t>
  </si>
  <si>
    <t>Cost Type</t>
  </si>
  <si>
    <t>Cost Type2</t>
  </si>
  <si>
    <t>Shipping</t>
  </si>
  <si>
    <t>Renovation</t>
  </si>
  <si>
    <t>Social Media</t>
  </si>
  <si>
    <t>Raw material</t>
  </si>
  <si>
    <t>Staff</t>
  </si>
  <si>
    <t>Product transformation</t>
  </si>
  <si>
    <t>Rental</t>
  </si>
  <si>
    <t>Registration</t>
  </si>
  <si>
    <t>External Services</t>
  </si>
  <si>
    <t>Various</t>
  </si>
  <si>
    <t>Cost per Type before and after Taxes.</t>
  </si>
  <si>
    <t>Total Fix &amp; Variable Costs</t>
  </si>
  <si>
    <t xml:space="preserve">Tax:  </t>
  </si>
  <si>
    <t xml:space="preserve">Product Cost calculation </t>
  </si>
  <si>
    <t>Expenses</t>
  </si>
  <si>
    <t>Price(Euro)</t>
  </si>
  <si>
    <t>Price(IDR)</t>
  </si>
  <si>
    <t>Palet Cost:</t>
  </si>
  <si>
    <t>Change Euro - Roupiah</t>
  </si>
  <si>
    <t>Airless bottle pamela 15 ml</t>
  </si>
  <si>
    <t>overcap nina transparent</t>
  </si>
  <si>
    <t>Price/Bottle</t>
  </si>
  <si>
    <t>Disp Airless pamela snapp on pp colar glossy</t>
  </si>
  <si>
    <t xml:space="preserve">Shipping </t>
  </si>
  <si>
    <t>Packaging 2</t>
  </si>
  <si>
    <t>Packaging 3</t>
  </si>
  <si>
    <t>Serum Raw Material</t>
  </si>
  <si>
    <t xml:space="preserve">Palett </t>
  </si>
  <si>
    <t>Bottle filling</t>
  </si>
  <si>
    <t>Change CHF - Roupiah</t>
  </si>
  <si>
    <t>CHF</t>
  </si>
  <si>
    <t>Airless bottle pamela 30 ml</t>
  </si>
  <si>
    <t>Filling Price per Bottle(IDR)</t>
  </si>
  <si>
    <t xml:space="preserve">Amount </t>
  </si>
  <si>
    <t>Total Amount(IDR)</t>
  </si>
  <si>
    <t>Indefinite</t>
  </si>
  <si>
    <t>Percentage of Total</t>
  </si>
  <si>
    <t>Euro</t>
  </si>
  <si>
    <t>Reseller Profit(%)</t>
  </si>
  <si>
    <t>Selling Price(€)</t>
  </si>
  <si>
    <t>15ml</t>
  </si>
  <si>
    <t>100ml</t>
  </si>
  <si>
    <t>30ml</t>
  </si>
  <si>
    <t>COSTS PER BOTTLE(30ml):</t>
  </si>
  <si>
    <t>Rich-Lotion 30ml</t>
  </si>
  <si>
    <t>COSTS PER BOTTLE(15ml):</t>
  </si>
  <si>
    <t>Emulsion Raw Material</t>
  </si>
  <si>
    <t>Rich-Lotion Raw Material</t>
  </si>
  <si>
    <t>Bootle loss rate:</t>
  </si>
  <si>
    <t>Bottle loss rate:</t>
  </si>
  <si>
    <t>%</t>
  </si>
  <si>
    <t>Qty Bott. 30ml</t>
  </si>
  <si>
    <t>Qty in ml off Rich-Lotion</t>
  </si>
  <si>
    <t>Qty off Bottles(30ml) possible</t>
  </si>
  <si>
    <t xml:space="preserve">Qty Bottles(30ml) after loss:  </t>
  </si>
  <si>
    <t>Qty 30ml</t>
  </si>
  <si>
    <t>Qty in ml off Serum</t>
  </si>
  <si>
    <t>Qty in ml off Emulsion</t>
  </si>
  <si>
    <t>Qty 15ml</t>
  </si>
  <si>
    <t>Emulsion 30ml</t>
  </si>
  <si>
    <t>Discount raw Mat.</t>
  </si>
  <si>
    <t>Raw Mat. Price</t>
  </si>
  <si>
    <t>Final Proce</t>
  </si>
  <si>
    <t>Raw Mat. Disc.</t>
  </si>
  <si>
    <t>Overcap nina price(€)</t>
  </si>
  <si>
    <t>Airless Pamela Snap price(€)</t>
  </si>
  <si>
    <t>Airless bottle 30ml price(€)</t>
  </si>
  <si>
    <t>Total Qty off Bottles</t>
  </si>
  <si>
    <t>Fised Costs</t>
  </si>
  <si>
    <t>Total Fixed Costs:</t>
  </si>
  <si>
    <t>€</t>
  </si>
  <si>
    <t>Fixed Costs</t>
  </si>
  <si>
    <t>Airless bottle 15ml price(€)</t>
  </si>
  <si>
    <t>HAKI (DPI)</t>
  </si>
  <si>
    <t>Type</t>
  </si>
  <si>
    <t>Amount(IDR)</t>
  </si>
  <si>
    <t>Coûts de location du lieu / an</t>
  </si>
  <si>
    <t>Frais de rénovation, mobilier et climatisation</t>
  </si>
  <si>
    <t>Frais POM</t>
  </si>
  <si>
    <t>frais d'échantillon de bouteille</t>
  </si>
  <si>
    <t xml:space="preserve">Shipping cost for packaging </t>
  </si>
  <si>
    <t>Shipping cost for packaging</t>
  </si>
  <si>
    <t>shipping cost Bottle</t>
  </si>
  <si>
    <t>shipping cost bahan baku raw material</t>
  </si>
  <si>
    <t>shipping cost raw material</t>
  </si>
  <si>
    <t>Tax PIB</t>
  </si>
  <si>
    <t>SMB Profit(%)</t>
  </si>
  <si>
    <t>Somme (IDR)</t>
  </si>
  <si>
    <t>Somme (€)</t>
  </si>
  <si>
    <t>Max. Prod. Price(€)</t>
  </si>
  <si>
    <t>A</t>
  </si>
  <si>
    <t>réseaux sociaux Rp. 12 000 000 par mois,7 mois en avance</t>
  </si>
  <si>
    <t>M</t>
  </si>
  <si>
    <t>Description</t>
  </si>
  <si>
    <t>U</t>
  </si>
  <si>
    <t>PercentFromTotal</t>
  </si>
  <si>
    <t>Taxes:</t>
  </si>
  <si>
    <t>Currency</t>
  </si>
  <si>
    <t>EUR</t>
  </si>
  <si>
    <t>Paid Shipping costs</t>
  </si>
  <si>
    <t>Shipping IT-SG Packaging</t>
  </si>
  <si>
    <t xml:space="preserve">Shipping Costs(Bottles):  </t>
  </si>
  <si>
    <t>Price for Reseller(€)</t>
  </si>
  <si>
    <t>Final Price</t>
  </si>
  <si>
    <t>Serum Bottle</t>
  </si>
  <si>
    <t>Emulsion Bottle</t>
  </si>
  <si>
    <t>Rich-Lotion Bottle</t>
  </si>
  <si>
    <t>Profit all Bottle</t>
  </si>
  <si>
    <t>Profit all Bottles</t>
  </si>
  <si>
    <t>Panama Profit/Bottle(€)</t>
  </si>
  <si>
    <t>Parama Profit/Bottle(€)</t>
  </si>
  <si>
    <t>If 100% Profit</t>
  </si>
  <si>
    <t>If 20% Profit</t>
  </si>
  <si>
    <t>IF 100% Profit</t>
  </si>
  <si>
    <t>Calculation for a Serum Bottle</t>
  </si>
  <si>
    <t>Calculation for a Emulsion Bottle</t>
  </si>
  <si>
    <t>Calculation for a Rich-Lotion Bottle</t>
  </si>
  <si>
    <t>product</t>
  </si>
  <si>
    <t>Serum</t>
  </si>
  <si>
    <t>Emulsion</t>
  </si>
  <si>
    <t>Rich Lotion</t>
  </si>
  <si>
    <t>costs</t>
  </si>
  <si>
    <t>C-RP</t>
  </si>
  <si>
    <t>tax</t>
  </si>
  <si>
    <t>Reseller40%</t>
  </si>
  <si>
    <t>C-RP_1</t>
  </si>
  <si>
    <t>nb bottles</t>
  </si>
  <si>
    <t>total profit (IDR)</t>
  </si>
  <si>
    <t>Total Profit (Euro)</t>
  </si>
  <si>
    <t>Selling price(IDR) without tax</t>
  </si>
  <si>
    <t>selling price(IDR) with tax</t>
  </si>
  <si>
    <t>Selling price (Euro)</t>
  </si>
  <si>
    <t>Profit/Bottle per product</t>
  </si>
  <si>
    <t>Reseller1 profit</t>
  </si>
  <si>
    <t>Profit Reseller1 in %</t>
  </si>
  <si>
    <t>RL</t>
  </si>
  <si>
    <t>Qty</t>
  </si>
  <si>
    <t>Unit price</t>
  </si>
  <si>
    <t>Total</t>
  </si>
  <si>
    <t>Diff Total+10% -Total-5%</t>
  </si>
  <si>
    <t>Reseller1 wanted 300% profit</t>
  </si>
  <si>
    <t>selling price without tax</t>
  </si>
  <si>
    <t>Selling price with tax</t>
  </si>
  <si>
    <t>profit %</t>
  </si>
  <si>
    <t>Reseller1 wanted Price</t>
  </si>
  <si>
    <t xml:space="preserve">Real Reseller1 Price </t>
  </si>
  <si>
    <t>Reseller2 (40%)</t>
  </si>
  <si>
    <t>selling price to Reseller2 with tax</t>
  </si>
  <si>
    <t>real profit per Bottle in Rp</t>
  </si>
  <si>
    <t>Total Profit (IDR)</t>
  </si>
  <si>
    <t>Profit in IDR per Bottle</t>
  </si>
  <si>
    <t>Total profit (IDR)</t>
  </si>
  <si>
    <t>real profit per Bottle in IDR</t>
  </si>
  <si>
    <t>Total Invested Capital in IDR</t>
  </si>
  <si>
    <t>number of produced bottles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</si>
</sst>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43" formatCode="_ * #,##0.00_ ;_ * \-#,##0.00_ ;_ * &quot;-&quot;??_ ;_ @_ "/>
    <numFmt numFmtId="164" formatCode="&quot;CHF&quot;\ #,##0.00"/>
    <numFmt numFmtId="165" formatCode="_(* #,##0_);_(* \(#,##0\);_(* &quot;-&quot;??_);_(@_)"/>
    <numFmt numFmtId="166" formatCode="#,##0.0"/>
    <numFmt numFmtId="167" formatCode="0.0%"/>
    <numFmt numFmtId="168" formatCode="[$EUR]\ #,##0;[$EUR]\ \-#,##0"/>
    <numFmt numFmtId="169" formatCode="[$IDR]\ #,##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2"/>
      <color rgb="FF00B05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160">
    <xf numFmtId="0" fontId="0" fillId="0" borderId="0" xfId="0"/>
    <xf numFmtId="0" fontId="0" fillId="0" borderId="0" xfId="0" applyAlignment="1">
      <alignment horizontal="right"/>
    </xf>
    <xf numFmtId="0" fontId="0" fillId="6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8" borderId="0" xfId="0" applyFill="1"/>
    <xf numFmtId="43" fontId="0" fillId="0" borderId="0" xfId="1" applyFont="1"/>
    <xf numFmtId="4" fontId="0" fillId="0" borderId="0" xfId="0" applyNumberFormat="1"/>
    <xf numFmtId="0" fontId="1" fillId="0" borderId="0" xfId="0" applyFont="1"/>
    <xf numFmtId="4" fontId="0" fillId="0" borderId="0" xfId="0" applyNumberFormat="1" applyAlignment="1">
      <alignment horizontal="right"/>
    </xf>
    <xf numFmtId="0" fontId="1" fillId="7" borderId="0" xfId="0" applyFont="1" applyFill="1"/>
    <xf numFmtId="1" fontId="0" fillId="0" borderId="0" xfId="0" applyNumberFormat="1"/>
    <xf numFmtId="0" fontId="1" fillId="0" borderId="0" xfId="0" applyFont="1" applyAlignment="1">
      <alignment horizontal="right"/>
    </xf>
    <xf numFmtId="4" fontId="0" fillId="0" borderId="0" xfId="0" applyNumberFormat="1" applyAlignment="1">
      <alignment horizontal="left"/>
    </xf>
    <xf numFmtId="4" fontId="1" fillId="10" borderId="1" xfId="0" applyNumberFormat="1" applyFont="1" applyFill="1" applyBorder="1" applyAlignment="1">
      <alignment horizontal="right"/>
    </xf>
    <xf numFmtId="4" fontId="11" fillId="0" borderId="0" xfId="0" applyNumberFormat="1" applyFont="1" applyAlignment="1">
      <alignment horizontal="left"/>
    </xf>
    <xf numFmtId="0" fontId="11" fillId="0" borderId="0" xfId="0" applyFont="1"/>
    <xf numFmtId="0" fontId="11" fillId="0" borderId="3" xfId="0" applyFont="1" applyBorder="1"/>
    <xf numFmtId="4" fontId="0" fillId="0" borderId="3" xfId="0" applyNumberFormat="1" applyBorder="1" applyAlignment="1">
      <alignment horizontal="right"/>
    </xf>
    <xf numFmtId="0" fontId="1" fillId="2" borderId="4" xfId="0" applyFont="1" applyFill="1" applyBorder="1"/>
    <xf numFmtId="4" fontId="10" fillId="2" borderId="4" xfId="0" applyNumberFormat="1" applyFont="1" applyFill="1" applyBorder="1" applyAlignment="1">
      <alignment horizontal="right"/>
    </xf>
    <xf numFmtId="0" fontId="1" fillId="5" borderId="4" xfId="0" applyFont="1" applyFill="1" applyBorder="1"/>
    <xf numFmtId="4" fontId="1" fillId="5" borderId="4" xfId="0" applyNumberFormat="1" applyFont="1" applyFill="1" applyBorder="1" applyAlignment="1">
      <alignment horizontal="right"/>
    </xf>
    <xf numFmtId="0" fontId="8" fillId="8" borderId="0" xfId="0" applyFont="1" applyFill="1"/>
    <xf numFmtId="4" fontId="8" fillId="8" borderId="0" xfId="0" applyNumberFormat="1" applyFont="1" applyFill="1" applyAlignment="1">
      <alignment horizontal="left"/>
    </xf>
    <xf numFmtId="0" fontId="5" fillId="0" borderId="0" xfId="0" applyFont="1"/>
    <xf numFmtId="164" fontId="1" fillId="10" borderId="1" xfId="0" applyNumberFormat="1" applyFont="1" applyFill="1" applyBorder="1" applyAlignment="1">
      <alignment horizontal="right"/>
    </xf>
    <xf numFmtId="0" fontId="1" fillId="10" borderId="1" xfId="0" applyFont="1" applyFill="1" applyBorder="1"/>
    <xf numFmtId="0" fontId="1" fillId="6" borderId="0" xfId="0" applyFont="1" applyFill="1" applyAlignment="1">
      <alignment horizontal="right"/>
    </xf>
    <xf numFmtId="1" fontId="0" fillId="6" borderId="0" xfId="0" applyNumberFormat="1" applyFill="1" applyAlignment="1">
      <alignment horizontal="left"/>
    </xf>
    <xf numFmtId="9" fontId="0" fillId="6" borderId="0" xfId="0" applyNumberFormat="1" applyFill="1" applyAlignment="1">
      <alignment horizontal="left"/>
    </xf>
    <xf numFmtId="0" fontId="5" fillId="9" borderId="0" xfId="0" applyFont="1" applyFill="1"/>
    <xf numFmtId="0" fontId="0" fillId="9" borderId="0" xfId="0" applyFill="1"/>
    <xf numFmtId="4" fontId="1" fillId="8" borderId="4" xfId="0" applyNumberFormat="1" applyFont="1" applyFill="1" applyBorder="1" applyAlignment="1">
      <alignment horizontal="center"/>
    </xf>
    <xf numFmtId="4" fontId="5" fillId="0" borderId="0" xfId="0" applyNumberFormat="1" applyFont="1" applyAlignment="1">
      <alignment horizontal="left"/>
    </xf>
    <xf numFmtId="14" fontId="0" fillId="0" borderId="0" xfId="0" applyNumberFormat="1"/>
    <xf numFmtId="0" fontId="0" fillId="6" borderId="0" xfId="0" applyFill="1" applyAlignment="1">
      <alignment horizontal="left"/>
    </xf>
    <xf numFmtId="0" fontId="1" fillId="7" borderId="0" xfId="0" applyFont="1" applyFill="1" applyAlignment="1">
      <alignment horizontal="left"/>
    </xf>
    <xf numFmtId="10" fontId="0" fillId="5" borderId="0" xfId="0" applyNumberFormat="1" applyFill="1" applyAlignment="1">
      <alignment horizontal="left"/>
    </xf>
    <xf numFmtId="4" fontId="3" fillId="0" borderId="0" xfId="0" applyNumberFormat="1" applyFont="1"/>
    <xf numFmtId="43" fontId="3" fillId="0" borderId="0" xfId="1" applyFont="1"/>
    <xf numFmtId="2" fontId="0" fillId="0" borderId="0" xfId="0" applyNumberFormat="1"/>
    <xf numFmtId="2" fontId="1" fillId="0" borderId="0" xfId="0" applyNumberFormat="1" applyFont="1" applyAlignment="1">
      <alignment horizontal="left"/>
    </xf>
    <xf numFmtId="2" fontId="5" fillId="0" borderId="0" xfId="0" applyNumberFormat="1" applyFont="1" applyAlignment="1">
      <alignment horizontal="left"/>
    </xf>
    <xf numFmtId="1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  <xf numFmtId="1" fontId="3" fillId="0" borderId="0" xfId="0" applyNumberFormat="1" applyFont="1" applyAlignment="1">
      <alignment horizontal="left"/>
    </xf>
    <xf numFmtId="4" fontId="1" fillId="7" borderId="0" xfId="0" applyNumberFormat="1" applyFont="1" applyFill="1"/>
    <xf numFmtId="4" fontId="0" fillId="5" borderId="0" xfId="0" applyNumberFormat="1" applyFill="1" applyAlignment="1">
      <alignment horizontal="left"/>
    </xf>
    <xf numFmtId="1" fontId="0" fillId="5" borderId="0" xfId="0" applyNumberFormat="1" applyFill="1" applyAlignment="1">
      <alignment horizontal="left"/>
    </xf>
    <xf numFmtId="1" fontId="3" fillId="5" borderId="0" xfId="0" applyNumberFormat="1" applyFont="1" applyFill="1" applyAlignment="1">
      <alignment horizontal="left"/>
    </xf>
    <xf numFmtId="2" fontId="1" fillId="5" borderId="0" xfId="0" applyNumberFormat="1" applyFont="1" applyFill="1" applyAlignment="1">
      <alignment horizontal="left"/>
    </xf>
    <xf numFmtId="0" fontId="12" fillId="5" borderId="0" xfId="0" applyFont="1" applyFill="1" applyAlignment="1">
      <alignment horizontal="center" vertic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" fontId="1" fillId="0" borderId="0" xfId="0" applyNumberFormat="1" applyFont="1"/>
    <xf numFmtId="1" fontId="1" fillId="0" borderId="0" xfId="0" applyNumberFormat="1" applyFont="1" applyAlignment="1">
      <alignment horizontal="left"/>
    </xf>
    <xf numFmtId="2" fontId="13" fillId="0" borderId="0" xfId="0" applyNumberFormat="1" applyFont="1" applyAlignment="1">
      <alignment horizontal="left"/>
    </xf>
    <xf numFmtId="3" fontId="5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4" fontId="13" fillId="0" borderId="0" xfId="0" applyNumberFormat="1" applyFont="1" applyAlignment="1">
      <alignment horizontal="left"/>
    </xf>
    <xf numFmtId="4" fontId="4" fillId="0" borderId="0" xfId="0" applyNumberFormat="1" applyFont="1"/>
    <xf numFmtId="1" fontId="1" fillId="0" borderId="0" xfId="0" applyNumberFormat="1" applyFont="1" applyAlignment="1">
      <alignment horizontal="center"/>
    </xf>
    <xf numFmtId="165" fontId="0" fillId="0" borderId="0" xfId="1" applyNumberFormat="1" applyFont="1"/>
    <xf numFmtId="0" fontId="14" fillId="0" borderId="0" xfId="0" applyFont="1"/>
    <xf numFmtId="3" fontId="14" fillId="0" borderId="0" xfId="0" applyNumberFormat="1" applyFont="1" applyAlignment="1">
      <alignment horizontal="right"/>
    </xf>
    <xf numFmtId="4" fontId="14" fillId="0" borderId="0" xfId="0" applyNumberFormat="1" applyFont="1"/>
    <xf numFmtId="2" fontId="14" fillId="0" borderId="0" xfId="0" applyNumberFormat="1" applyFont="1" applyAlignment="1">
      <alignment horizontal="left"/>
    </xf>
    <xf numFmtId="1" fontId="14" fillId="0" borderId="0" xfId="0" applyNumberFormat="1" applyFont="1"/>
    <xf numFmtId="0" fontId="3" fillId="0" borderId="0" xfId="0" applyFont="1" applyAlignment="1">
      <alignment horizontal="right"/>
    </xf>
    <xf numFmtId="41" fontId="16" fillId="0" borderId="0" xfId="0" applyNumberFormat="1" applyFont="1" applyAlignment="1">
      <alignment horizontal="right"/>
    </xf>
    <xf numFmtId="165" fontId="1" fillId="0" borderId="1" xfId="0" applyNumberFormat="1" applyFont="1" applyBorder="1"/>
    <xf numFmtId="165" fontId="1" fillId="0" borderId="0" xfId="0" applyNumberFormat="1" applyFont="1" applyAlignment="1">
      <alignment horizontal="left"/>
    </xf>
    <xf numFmtId="165" fontId="6" fillId="0" borderId="0" xfId="1" applyNumberFormat="1" applyFont="1"/>
    <xf numFmtId="4" fontId="3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4" fontId="14" fillId="0" borderId="0" xfId="0" applyNumberFormat="1" applyFont="1" applyAlignment="1">
      <alignment horizontal="right"/>
    </xf>
    <xf numFmtId="166" fontId="0" fillId="0" borderId="0" xfId="0" applyNumberFormat="1"/>
    <xf numFmtId="167" fontId="0" fillId="0" borderId="0" xfId="0" applyNumberFormat="1"/>
    <xf numFmtId="168" fontId="16" fillId="0" borderId="0" xfId="0" applyNumberFormat="1" applyFont="1"/>
    <xf numFmtId="168" fontId="7" fillId="0" borderId="0" xfId="0" applyNumberFormat="1" applyFont="1"/>
    <xf numFmtId="0" fontId="7" fillId="0" borderId="0" xfId="0" applyFont="1" applyAlignment="1">
      <alignment horizontal="right"/>
    </xf>
    <xf numFmtId="1" fontId="4" fillId="0" borderId="0" xfId="0" applyNumberFormat="1" applyFont="1"/>
    <xf numFmtId="0" fontId="4" fillId="0" borderId="0" xfId="0" applyFont="1"/>
    <xf numFmtId="4" fontId="15" fillId="0" borderId="0" xfId="0" applyNumberFormat="1" applyFont="1"/>
    <xf numFmtId="0" fontId="15" fillId="0" borderId="0" xfId="0" applyFont="1"/>
    <xf numFmtId="0" fontId="1" fillId="4" borderId="0" xfId="0" applyFont="1" applyFill="1"/>
    <xf numFmtId="4" fontId="7" fillId="4" borderId="0" xfId="0" applyNumberFormat="1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19" fillId="4" borderId="0" xfId="0" applyFont="1" applyFill="1" applyAlignment="1">
      <alignment horizontal="left"/>
    </xf>
    <xf numFmtId="0" fontId="1" fillId="3" borderId="0" xfId="0" applyFont="1" applyFill="1"/>
    <xf numFmtId="1" fontId="19" fillId="4" borderId="0" xfId="0" applyNumberFormat="1" applyFont="1" applyFill="1" applyAlignment="1">
      <alignment horizontal="right"/>
    </xf>
    <xf numFmtId="4" fontId="7" fillId="4" borderId="0" xfId="0" applyNumberFormat="1" applyFont="1" applyFill="1" applyAlignment="1">
      <alignment horizontal="right"/>
    </xf>
    <xf numFmtId="4" fontId="0" fillId="0" borderId="2" xfId="0" applyNumberFormat="1" applyBorder="1" applyAlignment="1">
      <alignment horizontal="left"/>
    </xf>
    <xf numFmtId="2" fontId="1" fillId="0" borderId="2" xfId="0" applyNumberFormat="1" applyFont="1" applyBorder="1" applyAlignment="1">
      <alignment horizontal="left"/>
    </xf>
    <xf numFmtId="1" fontId="0" fillId="0" borderId="2" xfId="0" applyNumberFormat="1" applyBorder="1" applyAlignment="1">
      <alignment horizontal="left"/>
    </xf>
    <xf numFmtId="1" fontId="3" fillId="0" borderId="2" xfId="0" applyNumberFormat="1" applyFont="1" applyBorder="1" applyAlignment="1">
      <alignment horizontal="left"/>
    </xf>
    <xf numFmtId="4" fontId="18" fillId="4" borderId="0" xfId="0" applyNumberFormat="1" applyFont="1" applyFill="1" applyAlignment="1">
      <alignment horizontal="right"/>
    </xf>
    <xf numFmtId="0" fontId="1" fillId="3" borderId="0" xfId="0" applyFont="1" applyFill="1" applyAlignment="1">
      <alignment horizontal="right"/>
    </xf>
    <xf numFmtId="0" fontId="7" fillId="3" borderId="0" xfId="0" applyFont="1" applyFill="1" applyAlignment="1">
      <alignment horizontal="right"/>
    </xf>
    <xf numFmtId="2" fontId="19" fillId="4" borderId="0" xfId="0" applyNumberFormat="1" applyFont="1" applyFill="1" applyAlignment="1">
      <alignment horizontal="right"/>
    </xf>
    <xf numFmtId="4" fontId="19" fillId="4" borderId="0" xfId="0" applyNumberFormat="1" applyFont="1" applyFill="1" applyAlignment="1">
      <alignment horizontal="left"/>
    </xf>
    <xf numFmtId="4" fontId="1" fillId="5" borderId="0" xfId="0" applyNumberFormat="1" applyFont="1" applyFill="1" applyAlignment="1">
      <alignment horizontal="left"/>
    </xf>
    <xf numFmtId="3" fontId="0" fillId="0" borderId="0" xfId="0" applyNumberFormat="1" applyAlignment="1">
      <alignment horizontal="left"/>
    </xf>
    <xf numFmtId="3" fontId="17" fillId="5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right"/>
    </xf>
    <xf numFmtId="169" fontId="4" fillId="4" borderId="0" xfId="0" applyNumberFormat="1" applyFont="1" applyFill="1" applyAlignment="1">
      <alignment horizontal="right"/>
    </xf>
    <xf numFmtId="1" fontId="3" fillId="6" borderId="0" xfId="0" applyNumberFormat="1" applyFont="1" applyFill="1" applyAlignment="1">
      <alignment horizontal="left"/>
    </xf>
    <xf numFmtId="2" fontId="1" fillId="6" borderId="0" xfId="0" applyNumberFormat="1" applyFont="1" applyFill="1" applyAlignment="1">
      <alignment horizontal="left"/>
    </xf>
    <xf numFmtId="4" fontId="1" fillId="6" borderId="0" xfId="0" applyNumberFormat="1" applyFont="1" applyFill="1" applyAlignment="1">
      <alignment horizontal="left"/>
    </xf>
    <xf numFmtId="3" fontId="17" fillId="6" borderId="0" xfId="0" applyNumberFormat="1" applyFont="1" applyFill="1" applyAlignment="1">
      <alignment horizontal="center"/>
    </xf>
    <xf numFmtId="0" fontId="4" fillId="6" borderId="0" xfId="0" applyFont="1" applyFill="1" applyAlignment="1">
      <alignment horizontal="left"/>
    </xf>
    <xf numFmtId="169" fontId="17" fillId="6" borderId="0" xfId="0" applyNumberFormat="1" applyFont="1" applyFill="1" applyAlignment="1">
      <alignment horizontal="center"/>
    </xf>
    <xf numFmtId="169" fontId="1" fillId="6" borderId="0" xfId="0" applyNumberFormat="1" applyFont="1" applyFill="1" applyAlignment="1">
      <alignment horizontal="left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/>
    <xf numFmtId="3" fontId="0" fillId="0" borderId="1" xfId="0" applyNumberForma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/>
    <xf numFmtId="3" fontId="1" fillId="0" borderId="0" xfId="0" applyNumberFormat="1" applyFont="1"/>
    <xf numFmtId="4" fontId="0" fillId="0" borderId="1" xfId="0" applyNumberFormat="1" applyBorder="1"/>
    <xf numFmtId="0" fontId="1" fillId="0" borderId="0" xfId="0" applyFont="1" applyAlignment="1">
      <alignment wrapText="1"/>
    </xf>
    <xf numFmtId="4" fontId="1" fillId="0" borderId="0" xfId="0" applyNumberFormat="1" applyFont="1"/>
    <xf numFmtId="9" fontId="0" fillId="0" borderId="1" xfId="0" applyNumberFormat="1" applyBorder="1"/>
    <xf numFmtId="3" fontId="0" fillId="0" borderId="0" xfId="0" applyNumberFormat="1"/>
    <xf numFmtId="9" fontId="0" fillId="0" borderId="0" xfId="0" applyNumberFormat="1"/>
    <xf numFmtId="9" fontId="1" fillId="0" borderId="1" xfId="0" applyNumberFormat="1" applyFont="1" applyBorder="1"/>
    <xf numFmtId="3" fontId="8" fillId="0" borderId="1" xfId="0" applyNumberFormat="1" applyFont="1" applyBorder="1"/>
    <xf numFmtId="3" fontId="17" fillId="0" borderId="1" xfId="0" applyNumberFormat="1" applyFont="1" applyBorder="1"/>
    <xf numFmtId="3" fontId="15" fillId="0" borderId="5" xfId="0" applyNumberFormat="1" applyFont="1" applyBorder="1"/>
    <xf numFmtId="0" fontId="1" fillId="0" borderId="6" xfId="0" applyFont="1" applyBorder="1"/>
    <xf numFmtId="3" fontId="8" fillId="0" borderId="0" xfId="0" applyNumberFormat="1" applyFont="1"/>
    <xf numFmtId="3" fontId="17" fillId="0" borderId="0" xfId="0" applyNumberFormat="1" applyFont="1"/>
    <xf numFmtId="0" fontId="1" fillId="0" borderId="7" xfId="0" applyFont="1" applyBorder="1"/>
    <xf numFmtId="3" fontId="0" fillId="0" borderId="7" xfId="0" applyNumberFormat="1" applyBorder="1"/>
    <xf numFmtId="3" fontId="8" fillId="0" borderId="7" xfId="0" applyNumberFormat="1" applyFont="1" applyBorder="1"/>
    <xf numFmtId="3" fontId="17" fillId="0" borderId="7" xfId="0" applyNumberFormat="1" applyFont="1" applyBorder="1"/>
    <xf numFmtId="0" fontId="1" fillId="0" borderId="8" xfId="0" applyFont="1" applyBorder="1"/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3" fontId="0" fillId="0" borderId="11" xfId="0" applyNumberFormat="1" applyBorder="1"/>
    <xf numFmtId="3" fontId="15" fillId="0" borderId="12" xfId="0" applyNumberFormat="1" applyFont="1" applyBorder="1"/>
    <xf numFmtId="0" fontId="12" fillId="5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" fillId="0" borderId="11" xfId="0" applyFont="1" applyBorder="1"/>
    <xf numFmtId="3" fontId="6" fillId="0" borderId="1" xfId="0" applyNumberFormat="1" applyFont="1" applyBorder="1"/>
    <xf numFmtId="3" fontId="15" fillId="0" borderId="1" xfId="0" applyNumberFormat="1" applyFont="1" applyBorder="1"/>
    <xf numFmtId="9" fontId="3" fillId="0" borderId="1" xfId="0" applyNumberFormat="1" applyFont="1" applyBorder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0" fontId="0" fillId="0" borderId="3" xfId="0" applyBorder="1" applyAlignment="1">
      <alignment horizontal="center"/>
    </xf>
    <xf numFmtId="3" fontId="15" fillId="0" borderId="0" xfId="0" applyNumberFormat="1" applyFont="1"/>
    <xf numFmtId="0" fontId="1" fillId="0" borderId="0" xfId="0" applyFont="1" applyBorder="1" applyAlignment="1">
      <alignment vertical="top" wrapText="1"/>
    </xf>
    <xf numFmtId="3" fontId="0" fillId="0" borderId="0" xfId="0" applyNumberFormat="1" applyBorder="1"/>
    <xf numFmtId="0" fontId="6" fillId="0" borderId="0" xfId="0" applyFont="1" applyAlignment="1">
      <alignment horizontal="center" vertical="top" wrapText="1"/>
    </xf>
  </cellXfs>
  <cellStyles count="2">
    <cellStyle name="Milliers" xfId="1" builtinId="3"/>
    <cellStyle name="Normal" xfId="0" builtinId="0"/>
  </cellStyles>
  <dxfs count="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7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</dxf>
    <dxf>
      <numFmt numFmtId="4" formatCode="#,##0.00"/>
    </dxf>
    <dxf>
      <numFmt numFmtId="4" formatCode="#,##0.00"/>
    </dxf>
    <dxf>
      <numFmt numFmtId="4" formatCode="#,##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4" formatCode="#,##0.00"/>
    </dxf>
    <dxf>
      <numFmt numFmtId="4" formatCode="#,##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4" formatCode="#,##0.00"/>
    </dxf>
    <dxf>
      <numFmt numFmtId="4" formatCode="#,##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4" formatCode="#,##0.0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border outline="0">
        <top style="thin">
          <color auto="1"/>
        </top>
      </border>
    </dxf>
    <dxf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rgb="FF0070C0"/>
        <name val="Calibri"/>
        <family val="2"/>
        <scheme val="minor"/>
      </font>
    </dxf>
    <dxf>
      <font>
        <b/>
        <strike val="0"/>
        <outline val="0"/>
        <shadow val="0"/>
        <u val="none"/>
        <vertAlign val="baseline"/>
        <sz val="11"/>
        <color rgb="FF00B050"/>
        <name val="Calibri"/>
        <family val="2"/>
        <scheme val="minor"/>
      </font>
      <numFmt numFmtId="4" formatCode="#,##0.00"/>
    </dxf>
    <dxf>
      <font>
        <b/>
      </font>
    </dxf>
  </dxfs>
  <tableStyles count="0" defaultTableStyle="TableStyleMedium2" defaultPivotStyle="PivotStyleLight16"/>
  <colors>
    <mruColors>
      <color rgb="FFFFFFCC"/>
      <color rgb="FFF8FA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CH"/>
              <a:t>Serum</a:t>
            </a:r>
          </a:p>
        </c:rich>
      </c:tx>
      <c:layout>
        <c:manualLayout>
          <c:xMode val="edge"/>
          <c:yMode val="edge"/>
          <c:x val="3.4076842646785073E-2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title>
    <c:autoTitleDeleted val="0"/>
    <c:plotArea>
      <c:layout>
        <c:manualLayout>
          <c:layoutTarget val="inner"/>
          <c:xMode val="edge"/>
          <c:yMode val="edge"/>
          <c:x val="3.6779220055556713E-2"/>
          <c:y val="0.12807917569255808"/>
          <c:w val="0.51426958223055985"/>
          <c:h val="0.81238868067255787"/>
        </c:manualLayout>
      </c:layout>
      <c:pieChart>
        <c:varyColors val="1"/>
        <c:ser>
          <c:idx val="0"/>
          <c:order val="0"/>
          <c:explosion val="18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108-4631-9195-F91218C3463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108-4631-9195-F91218C3463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108-4631-9195-F91218C34634}"/>
              </c:ext>
            </c:extLst>
          </c:dPt>
          <c:dPt>
            <c:idx val="3"/>
            <c:bubble3D val="0"/>
            <c:explosion val="8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CAAB-4A56-8942-BE75218EABD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108-4631-9195-F91218C3463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108-4631-9195-F91218C3463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D108-4631-9195-F91218C34634}"/>
              </c:ext>
            </c:extLst>
          </c:dPt>
          <c:dPt>
            <c:idx val="7"/>
            <c:bubble3D val="0"/>
            <c:explosion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AAB-4A56-8942-BE75218EABD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D108-4631-9195-F91218C34634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AAB-4A56-8942-BE75218EABD8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Serum!$A$9:$A$18</c:f>
              <c:strCache>
                <c:ptCount val="10"/>
                <c:pt idx="0">
                  <c:v>Airless bottle pamela 15 ml</c:v>
                </c:pt>
                <c:pt idx="1">
                  <c:v>overcap nina transparent</c:v>
                </c:pt>
                <c:pt idx="2">
                  <c:v>Disp Airless pamela snapp on pp colar glossy</c:v>
                </c:pt>
                <c:pt idx="3">
                  <c:v>Shipping </c:v>
                </c:pt>
                <c:pt idx="4">
                  <c:v>Fixed Costs</c:v>
                </c:pt>
                <c:pt idx="5">
                  <c:v>Packaging 2</c:v>
                </c:pt>
                <c:pt idx="6">
                  <c:v>Packaging 3</c:v>
                </c:pt>
                <c:pt idx="7">
                  <c:v>Serum Raw Material</c:v>
                </c:pt>
                <c:pt idx="8">
                  <c:v>Palett </c:v>
                </c:pt>
                <c:pt idx="9">
                  <c:v>Bottle filling</c:v>
                </c:pt>
              </c:strCache>
            </c:strRef>
          </c:cat>
          <c:val>
            <c:numRef>
              <c:f>Serum!$F$9:$F$18</c:f>
              <c:numCache>
                <c:formatCode>0.00%</c:formatCode>
                <c:ptCount val="10"/>
                <c:pt idx="0">
                  <c:v>4.1059970176793067E-2</c:v>
                </c:pt>
                <c:pt idx="1">
                  <c:v>1.192155388427182E-2</c:v>
                </c:pt>
                <c:pt idx="2">
                  <c:v>5.1812688506094537E-2</c:v>
                </c:pt>
                <c:pt idx="3">
                  <c:v>0.17222531423950938</c:v>
                </c:pt>
                <c:pt idx="4">
                  <c:v>0.17454514653453435</c:v>
                </c:pt>
                <c:pt idx="5">
                  <c:v>0</c:v>
                </c:pt>
                <c:pt idx="6">
                  <c:v>0</c:v>
                </c:pt>
                <c:pt idx="7">
                  <c:v>0.46970776047235779</c:v>
                </c:pt>
                <c:pt idx="8">
                  <c:v>2.3640645775801785E-3</c:v>
                </c:pt>
                <c:pt idx="9">
                  <c:v>7.6363501608858755E-2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AB-4A56-8942-BE75218EABD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927399596508286"/>
          <c:y val="1.0355424321959758E-2"/>
          <c:w val="0.40726004034917146"/>
          <c:h val="0.988432487605716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CH"/>
              <a:t>Emulsion</a:t>
            </a:r>
          </a:p>
        </c:rich>
      </c:tx>
      <c:layout>
        <c:manualLayout>
          <c:xMode val="edge"/>
          <c:yMode val="edge"/>
          <c:x val="3.079915561279643E-2"/>
          <c:y val="2.49221183800623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title>
    <c:autoTitleDeleted val="0"/>
    <c:plotArea>
      <c:layout>
        <c:manualLayout>
          <c:layoutTarget val="inner"/>
          <c:xMode val="edge"/>
          <c:yMode val="edge"/>
          <c:x val="2.1458179283471917E-2"/>
          <c:y val="0.21698872356699478"/>
          <c:w val="0.56878398633066374"/>
          <c:h val="0.74475824966397175"/>
        </c:manualLayout>
      </c:layout>
      <c:pieChart>
        <c:varyColors val="1"/>
        <c:ser>
          <c:idx val="0"/>
          <c:order val="0"/>
          <c:dPt>
            <c:idx val="0"/>
            <c:bubble3D val="0"/>
            <c:explosion val="9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2F8F-485F-BD30-51F6D7BE6EF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D29-48D1-92B2-74238AAF0E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D29-48D1-92B2-74238AAF0ED6}"/>
              </c:ext>
            </c:extLst>
          </c:dPt>
          <c:dPt>
            <c:idx val="3"/>
            <c:bubble3D val="0"/>
            <c:explosion val="6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2F8F-485F-BD30-51F6D7BE6EFC}"/>
              </c:ext>
            </c:extLst>
          </c:dPt>
          <c:dPt>
            <c:idx val="4"/>
            <c:bubble3D val="0"/>
            <c:explosion val="13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F8F-485F-BD30-51F6D7BE6EF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FD29-48D1-92B2-74238AAF0ED6}"/>
              </c:ext>
            </c:extLst>
          </c:dPt>
          <c:dPt>
            <c:idx val="6"/>
            <c:bubble3D val="0"/>
            <c:explosion val="8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2F8F-485F-BD30-51F6D7BE6EFC}"/>
              </c:ext>
            </c:extLst>
          </c:dPt>
          <c:dPt>
            <c:idx val="7"/>
            <c:bubble3D val="0"/>
            <c:explosion val="6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F8F-485F-BD30-51F6D7BE6EFC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FD29-48D1-92B2-74238AAF0ED6}"/>
              </c:ext>
            </c:extLst>
          </c:dPt>
          <c:dPt>
            <c:idx val="9"/>
            <c:bubble3D val="0"/>
            <c:explosion val="12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F8F-485F-BD30-51F6D7BE6EFC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Emulsion!$A$9:$A$18</c:f>
              <c:strCache>
                <c:ptCount val="10"/>
                <c:pt idx="0">
                  <c:v>Airless bottle pamela 30 ml</c:v>
                </c:pt>
                <c:pt idx="1">
                  <c:v>overcap nina transparent</c:v>
                </c:pt>
                <c:pt idx="2">
                  <c:v>Disp Airless pamela snapp on pp colar glossy</c:v>
                </c:pt>
                <c:pt idx="3">
                  <c:v>Shipping </c:v>
                </c:pt>
                <c:pt idx="4">
                  <c:v>Fixed Costs</c:v>
                </c:pt>
                <c:pt idx="5">
                  <c:v>Packaging 2</c:v>
                </c:pt>
                <c:pt idx="6">
                  <c:v>Packaging 3</c:v>
                </c:pt>
                <c:pt idx="7">
                  <c:v>Emulsion Raw Material</c:v>
                </c:pt>
                <c:pt idx="8">
                  <c:v>Palett </c:v>
                </c:pt>
                <c:pt idx="9">
                  <c:v>Bottle filling</c:v>
                </c:pt>
              </c:strCache>
            </c:strRef>
          </c:cat>
          <c:val>
            <c:numRef>
              <c:f>Emulsion!$F$9:$F$18</c:f>
              <c:numCache>
                <c:formatCode>0.00%</c:formatCode>
                <c:ptCount val="10"/>
                <c:pt idx="0">
                  <c:v>5.1653068698796267E-2</c:v>
                </c:pt>
                <c:pt idx="1">
                  <c:v>1.4442371647384541E-2</c:v>
                </c:pt>
                <c:pt idx="2">
                  <c:v>6.276850406576788E-2</c:v>
                </c:pt>
                <c:pt idx="3">
                  <c:v>0.20864243197492471</c:v>
                </c:pt>
                <c:pt idx="4">
                  <c:v>0.14801695567364703</c:v>
                </c:pt>
                <c:pt idx="5">
                  <c:v>0</c:v>
                </c:pt>
                <c:pt idx="6">
                  <c:v>0</c:v>
                </c:pt>
                <c:pt idx="7">
                  <c:v>0.41763346698292581</c:v>
                </c:pt>
                <c:pt idx="8">
                  <c:v>4.3326036605242559E-3</c:v>
                </c:pt>
                <c:pt idx="9">
                  <c:v>9.2510597296029395E-2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8F-485F-BD30-51F6D7BE6EF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017501994215552"/>
          <c:y val="1.7338533617877201E-2"/>
          <c:w val="0.36982498005784453"/>
          <c:h val="0.98183399972199736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CH"/>
              <a:t>Rich-Lotion</a:t>
            </a:r>
          </a:p>
        </c:rich>
      </c:tx>
      <c:layout>
        <c:manualLayout>
          <c:xMode val="edge"/>
          <c:yMode val="edge"/>
          <c:x val="1.3549595817993655E-2"/>
          <c:y val="2.29885057471264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title>
    <c:autoTitleDeleted val="0"/>
    <c:plotArea>
      <c:layout>
        <c:manualLayout>
          <c:layoutTarget val="inner"/>
          <c:xMode val="edge"/>
          <c:yMode val="edge"/>
          <c:x val="2.2598870056497175E-2"/>
          <c:y val="0.19570544248006735"/>
          <c:w val="0.56845993634462877"/>
          <c:h val="0.77343920060306925"/>
        </c:manualLayout>
      </c:layout>
      <c:pieChart>
        <c:varyColors val="1"/>
        <c:ser>
          <c:idx val="0"/>
          <c:order val="0"/>
          <c:dPt>
            <c:idx val="0"/>
            <c:bubble3D val="0"/>
            <c:explosion val="9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252-44AC-BEA0-D04555E5FC2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144-4AF3-9FF3-090BE6EF092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144-4AF3-9FF3-090BE6EF0921}"/>
              </c:ext>
            </c:extLst>
          </c:dPt>
          <c:dPt>
            <c:idx val="3"/>
            <c:bubble3D val="0"/>
            <c:explosion val="8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D252-44AC-BEA0-D04555E5FC27}"/>
              </c:ext>
            </c:extLst>
          </c:dPt>
          <c:dPt>
            <c:idx val="4"/>
            <c:bubble3D val="0"/>
            <c:explosion val="15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D252-44AC-BEA0-D04555E5FC2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7144-4AF3-9FF3-090BE6EF0921}"/>
              </c:ext>
            </c:extLst>
          </c:dPt>
          <c:dPt>
            <c:idx val="6"/>
            <c:bubble3D val="0"/>
            <c:explosion val="7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252-44AC-BEA0-D04555E5FC27}"/>
              </c:ext>
            </c:extLst>
          </c:dPt>
          <c:dPt>
            <c:idx val="7"/>
            <c:bubble3D val="0"/>
            <c:explosion val="6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252-44AC-BEA0-D04555E5FC2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7144-4AF3-9FF3-090BE6EF0921}"/>
              </c:ext>
            </c:extLst>
          </c:dPt>
          <c:dPt>
            <c:idx val="9"/>
            <c:bubble3D val="0"/>
            <c:explosion val="13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D252-44AC-BEA0-D04555E5FC27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'Rich Lotion'!$A$9:$A$18</c:f>
              <c:strCache>
                <c:ptCount val="10"/>
                <c:pt idx="0">
                  <c:v>Airless bottle pamela 30 ml</c:v>
                </c:pt>
                <c:pt idx="1">
                  <c:v>overcap nina transparent</c:v>
                </c:pt>
                <c:pt idx="2">
                  <c:v>Disp Airless pamela snapp on pp colar glossy</c:v>
                </c:pt>
                <c:pt idx="3">
                  <c:v>Shipping </c:v>
                </c:pt>
                <c:pt idx="4">
                  <c:v>Fised Costs</c:v>
                </c:pt>
                <c:pt idx="5">
                  <c:v>Packaging 2</c:v>
                </c:pt>
                <c:pt idx="6">
                  <c:v>Packaging 3</c:v>
                </c:pt>
                <c:pt idx="7">
                  <c:v>Rich-Lotion Raw Material</c:v>
                </c:pt>
                <c:pt idx="8">
                  <c:v>Palett </c:v>
                </c:pt>
                <c:pt idx="9">
                  <c:v>Bottle filling</c:v>
                </c:pt>
              </c:strCache>
            </c:strRef>
          </c:cat>
          <c:val>
            <c:numRef>
              <c:f>'Rich Lotion'!$F$9:$F$18</c:f>
              <c:numCache>
                <c:formatCode>0.00%</c:formatCode>
                <c:ptCount val="10"/>
                <c:pt idx="0">
                  <c:v>3.9716952155691064E-2</c:v>
                </c:pt>
                <c:pt idx="1">
                  <c:v>1.1104993336964089E-2</c:v>
                </c:pt>
                <c:pt idx="2">
                  <c:v>4.8263805726657616E-2</c:v>
                </c:pt>
                <c:pt idx="3">
                  <c:v>0.16042883215161668</c:v>
                </c:pt>
                <c:pt idx="4">
                  <c:v>0.11980298750500668</c:v>
                </c:pt>
                <c:pt idx="5">
                  <c:v>0</c:v>
                </c:pt>
                <c:pt idx="6">
                  <c:v>0</c:v>
                </c:pt>
                <c:pt idx="7">
                  <c:v>0.54596416810531634</c:v>
                </c:pt>
                <c:pt idx="8">
                  <c:v>3.5852371876498304E-3</c:v>
                </c:pt>
                <c:pt idx="9">
                  <c:v>7.1133023831097722E-2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52-44AC-BEA0-D04555E5FC2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991727395107112"/>
          <c:y val="1.4795607445621015E-2"/>
          <c:w val="0.35786431423865711"/>
          <c:h val="0.98180710169849461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85725</xdr:colOff>
      <xdr:row>10</xdr:row>
      <xdr:rowOff>85725</xdr:rowOff>
    </xdr:from>
    <xdr:to>
      <xdr:col>14</xdr:col>
      <xdr:colOff>419099</xdr:colOff>
      <xdr:row>32</xdr:row>
      <xdr:rowOff>9525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B306B9C9-ABEB-7112-0B9A-1965864467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9</xdr:row>
      <xdr:rowOff>180974</xdr:rowOff>
    </xdr:from>
    <xdr:to>
      <xdr:col>14</xdr:col>
      <xdr:colOff>47624</xdr:colOff>
      <xdr:row>31</xdr:row>
      <xdr:rowOff>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94F94F67-460F-7527-7905-5409AFBE80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104774</xdr:colOff>
      <xdr:row>11</xdr:row>
      <xdr:rowOff>161925</xdr:rowOff>
    </xdr:from>
    <xdr:to>
      <xdr:col>13</xdr:col>
      <xdr:colOff>761998</xdr:colOff>
      <xdr:row>30</xdr:row>
      <xdr:rowOff>180975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C5F696B3-DAD2-444C-BC52-739BCC80EA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8ED3CAC-5E47-4B07-AB97-96C1EDE05B1A}" name="Tableau1" displayName="Tableau1" ref="B7:G34" totalsRowShown="0">
  <autoFilter ref="B7:G34" xr:uid="{A8ED3CAC-5E47-4B07-AB97-96C1EDE05B1A}"/>
  <tableColumns count="6">
    <tableColumn id="1" xr3:uid="{B59782DC-C1B4-492A-9AF6-D0B1B5704A25}" name="Cost type" dataDxfId="28"/>
    <tableColumn id="2" xr3:uid="{5206BC0F-A33D-4D44-BFEC-9ED3257CE783}" name="Variable/fix"/>
    <tableColumn id="7" xr3:uid="{1F53F327-5843-4603-95D8-E20A403330B1}" name="Cost Type2"/>
    <tableColumn id="3" xr3:uid="{1A5D316F-1232-4514-9557-13B81BF90720}" name="Status"/>
    <tableColumn id="4" xr3:uid="{7C895284-2E82-4633-BEAE-5ECEC9935DD8}" name="Currencie"/>
    <tableColumn id="5" xr3:uid="{3BCF9ED0-9AA3-48C2-8CE9-6B4F3F8BCF68}" name="Amount " dataDxfId="27"/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3EA99E5-77B8-48C9-8F3B-678D8F2A9978}" name="Tableau4" displayName="Tableau4" ref="J21:K34" totalsRowShown="0" headerRowDxfId="26" dataDxfId="25" tableBorderDxfId="24">
  <autoFilter ref="J21:K34" xr:uid="{F3EA99E5-77B8-48C9-8F3B-678D8F2A9978}"/>
  <tableColumns count="2">
    <tableColumn id="1" xr3:uid="{89AA34FF-1579-485B-8B15-C394967B816F}" name="Cost Type" dataDxfId="23"/>
    <tableColumn id="2" xr3:uid="{85F65CB4-068C-4BE2-AF24-FD3B7CA4FA73}" name="Total Amount(IDR)" dataDxfId="22">
      <calculatedColumnFormula>SUMIF(Tableau1[Cost Type2],J22,Tableau1[[Amount ]])</calculatedColumnFormula>
    </tableColumn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DED997D-524F-4FD2-A697-A7958A002F7E}" name="Tableau5" displayName="Tableau5" ref="A8:D18" totalsRowShown="0" headerRowDxfId="21">
  <autoFilter ref="A8:D18" xr:uid="{CDED997D-524F-4FD2-A697-A7958A002F7E}"/>
  <tableColumns count="4">
    <tableColumn id="1" xr3:uid="{89FF1155-90FF-4885-B236-5BA7A5F4B377}" name="Expenses"/>
    <tableColumn id="2" xr3:uid="{F94382E5-18B7-4286-B7A7-2A57E1EF1BAC}" name="Price(Euro)" dataDxfId="20"/>
    <tableColumn id="3" xr3:uid="{1D9CB7A6-C175-4F39-B939-A1A5F6B863CE}" name="Price(IDR)" dataDxfId="19">
      <calculatedColumnFormula>Tableau5[[#This Row],[Price(Euro)]]*$G$2</calculatedColumnFormula>
    </tableColumn>
    <tableColumn id="4" xr3:uid="{5CD46E88-B148-488C-A7D7-55148FB7A902}" name="100ml"/>
  </tableColumns>
  <tableStyleInfo name="TableStyleMedium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E043F60-26B4-4308-AD1A-68BBF1070CC7}" name="Tableau57" displayName="Tableau57" ref="A8:D18" totalsRowShown="0" headerRowDxfId="18">
  <autoFilter ref="A8:D18" xr:uid="{CDED997D-524F-4FD2-A697-A7958A002F7E}"/>
  <tableColumns count="4">
    <tableColumn id="1" xr3:uid="{26FA782D-DB6C-4ACB-A084-B40F2C4DC56F}" name="Expenses"/>
    <tableColumn id="2" xr3:uid="{76E206EB-7CFD-4F21-99D6-EBD50734F541}" name="Price(Euro)" dataDxfId="17"/>
    <tableColumn id="3" xr3:uid="{1588BFCC-2F57-4FB5-B1E0-8F4C97954C6C}" name="Price(IDR)" dataDxfId="16">
      <calculatedColumnFormula>Tableau57[[#This Row],[Price(Euro)]]*$G$2</calculatedColumnFormula>
    </tableColumn>
    <tableColumn id="4" xr3:uid="{688B4E98-04FB-4400-8ADB-9557D2FAD530}" name="100ml"/>
  </tableColumns>
  <tableStyleInfo name="TableStyleMedium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93E245E-3A57-48DA-B3CC-67C5BD548D47}" name="Tableau578" displayName="Tableau578" ref="A8:D18" totalsRowShown="0" headerRowDxfId="15">
  <autoFilter ref="A8:D18" xr:uid="{CDED997D-524F-4FD2-A697-A7958A002F7E}"/>
  <tableColumns count="4">
    <tableColumn id="1" xr3:uid="{4F729E0D-E8DF-43E9-95C3-08284903212D}" name="Expenses"/>
    <tableColumn id="2" xr3:uid="{AD713EB9-513C-446C-BD22-B5B38220981D}" name="Price(Euro)" dataDxfId="14"/>
    <tableColumn id="3" xr3:uid="{8FDD81B9-0DDA-444C-BCD3-9F3545841236}" name="Price(IDR)" dataDxfId="13">
      <calculatedColumnFormula>Tableau578[[#This Row],[Price(Euro)]]*$G$2</calculatedColumnFormula>
    </tableColumn>
    <tableColumn id="4" xr3:uid="{307C0034-A18F-41AA-BB9A-0B5392FDC53C}" name="Price/Bottle" dataDxfId="12">
      <calculatedColumnFormula>D6*G5*G2</calculatedColumnFormula>
    </tableColumn>
  </tableColumns>
  <tableStyleInfo name="TableStyleMedium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168A178-4BC7-48E4-BEB1-C8889049F8FC}" name="Tableau2" displayName="Tableau2" ref="A1:C8" totalsRowShown="0">
  <autoFilter ref="A1:C8" xr:uid="{6168A178-4BC7-48E4-BEB1-C8889049F8FC}"/>
  <tableColumns count="3">
    <tableColumn id="1" xr3:uid="{D7CF0548-AE84-4050-B6B2-2EC9C8D0DA7F}" name="Description"/>
    <tableColumn id="3" xr3:uid="{3E7F4AF5-0613-412F-86C0-8ADC63CD0910}" name="Type"/>
    <tableColumn id="2" xr3:uid="{F4A9CEC4-CD9E-43F8-845F-952207148FB8}" name="Amount(IDR)" dataDxfId="11" dataCellStyle="Milliers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C96A2BD-1447-4232-A1A4-9876A94E0AA5}" name="Tableau3" displayName="Tableau3" ref="A1:D9" totalsRowShown="0">
  <autoFilter ref="A1:D9" xr:uid="{4C96A2BD-1447-4232-A1A4-9876A94E0AA5}"/>
  <tableColumns count="4">
    <tableColumn id="1" xr3:uid="{22747E49-02EE-4FA2-834D-56C8767372A9}" name="Type"/>
    <tableColumn id="4" xr3:uid="{47E271B8-B305-48A6-B74D-EB5AF5FE0F90}" name="Status"/>
    <tableColumn id="2" xr3:uid="{B6D1DD69-3B4F-4C2D-A1E1-692FA16C290C}" name="Amount(IDR)" dataDxfId="10" dataCellStyle="Milliers"/>
    <tableColumn id="3" xr3:uid="{F1061EE1-56D3-42AC-8D24-52AAE4DBD8A0}" name="PercentFromTotal" dataDxfId="9">
      <calculatedColumnFormula>Tableau3[[#This Row],[Amount(IDR)]]/$F$7</calculatedColumnFormula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48AC3D3-1F82-4EC4-A33B-A1776AAAC84A}" name="Tableau8" displayName="Tableau8" ref="A1:D4" totalsRowShown="0">
  <autoFilter ref="A1:D4" xr:uid="{C48AC3D3-1F82-4EC4-A33B-A1776AAAC84A}"/>
  <tableColumns count="4">
    <tableColumn id="1" xr3:uid="{9809B24C-20D9-4F27-BBCD-FE5F2DFD01C6}" name="Currency"/>
    <tableColumn id="2" xr3:uid="{50EA8BAA-A749-4E52-B5AA-0CD92D3F4D30}" name="CHF"/>
    <tableColumn id="3" xr3:uid="{27A553A4-C078-450B-8DBE-E7C987AA1FE9}" name="EUR"/>
    <tableColumn id="4" xr3:uid="{D87E1C28-7AA3-42FE-AB6E-9DFEFD7B71BC}" name="IDR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7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5E0344F-4C06-496E-A14F-9F94E89D6470}">
  <we:reference id="wa200005271" version="2.4.4.0" store="de-DE" storeType="OMEX"/>
  <we:alternateReferences>
    <we:reference id="wa200005271" version="2.4.4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_xldudf_AI_TABLE</we:customFunctionIds>
        <we:customFunctionIds>_xldudf_AI_FILL</we:customFunctionIds>
        <we:customFunctionIds>_xldudf_AI_LIST</we:customFunctionIds>
        <we:customFunctionIds>_xldudf_AI_ASK</we:customFunctionIds>
        <we:customFunctionIds>_xldudf_AI_FORMAT</we:customFunctionIds>
        <we:customFunctionIds>_xldudf_AI_EXTRACT</we:customFunctionIds>
        <we:customFunctionIds>_xldudf_AI_TRANSLATE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2783B-2F84-4E5F-8E39-047CF06EBD43}">
  <dimension ref="B2:M34"/>
  <sheetViews>
    <sheetView showGridLines="0" workbookViewId="0">
      <selection activeCell="H28" sqref="H28"/>
    </sheetView>
  </sheetViews>
  <sheetFormatPr baseColWidth="10" defaultRowHeight="14.4" x14ac:dyDescent="0.3"/>
  <cols>
    <col min="2" max="2" width="41.109375" customWidth="1"/>
    <col min="3" max="3" width="13.6640625" customWidth="1"/>
    <col min="4" max="4" width="18.5546875" customWidth="1"/>
    <col min="5" max="5" width="15.109375" customWidth="1"/>
    <col min="6" max="6" width="11.6640625" customWidth="1"/>
    <col min="7" max="8" width="21.5546875" customWidth="1"/>
    <col min="10" max="10" width="23.109375" customWidth="1"/>
    <col min="11" max="11" width="19.88671875" style="9" bestFit="1" customWidth="1"/>
    <col min="13" max="13" width="16.6640625" bestFit="1" customWidth="1"/>
  </cols>
  <sheetData>
    <row r="2" spans="2:13" ht="18" x14ac:dyDescent="0.35">
      <c r="B2" s="31" t="s">
        <v>62</v>
      </c>
      <c r="C2" s="28"/>
      <c r="D2" s="28" t="s">
        <v>39</v>
      </c>
      <c r="E2" s="29">
        <v>5333</v>
      </c>
      <c r="F2" s="2"/>
      <c r="G2" s="28" t="s">
        <v>40</v>
      </c>
      <c r="H2" s="36">
        <v>3333</v>
      </c>
      <c r="J2" s="12" t="s">
        <v>45</v>
      </c>
      <c r="K2" s="13">
        <v>17510</v>
      </c>
    </row>
    <row r="3" spans="2:13" x14ac:dyDescent="0.3">
      <c r="B3" s="32"/>
      <c r="C3" s="2"/>
      <c r="D3" s="28" t="s">
        <v>61</v>
      </c>
      <c r="E3" s="30">
        <v>0.11</v>
      </c>
      <c r="F3" s="2"/>
      <c r="G3" s="28" t="s">
        <v>41</v>
      </c>
      <c r="H3" s="36">
        <v>1000</v>
      </c>
    </row>
    <row r="4" spans="2:13" x14ac:dyDescent="0.3">
      <c r="B4" s="2"/>
      <c r="C4" s="2"/>
      <c r="D4" s="2"/>
      <c r="E4" s="2"/>
      <c r="F4" s="2"/>
      <c r="G4" s="28" t="s">
        <v>42</v>
      </c>
      <c r="H4" s="36">
        <v>1000</v>
      </c>
    </row>
    <row r="5" spans="2:13" ht="15.6" x14ac:dyDescent="0.3">
      <c r="B5" s="2"/>
      <c r="C5" s="2"/>
      <c r="D5" s="2"/>
      <c r="E5" s="2"/>
      <c r="F5" s="2"/>
      <c r="G5" s="2"/>
      <c r="H5" s="36"/>
      <c r="J5" s="15" t="s">
        <v>60</v>
      </c>
      <c r="K5" s="15"/>
      <c r="M5" t="s">
        <v>148</v>
      </c>
    </row>
    <row r="6" spans="2:13" x14ac:dyDescent="0.3">
      <c r="B6" s="2"/>
      <c r="C6" s="2"/>
      <c r="D6" s="2"/>
      <c r="E6" s="2"/>
      <c r="F6" s="2"/>
      <c r="G6" s="2"/>
      <c r="H6" s="36"/>
      <c r="J6" s="5"/>
      <c r="K6" s="33" t="s">
        <v>83</v>
      </c>
      <c r="M6" s="7">
        <f>SUMIFS(Tableau1[[Amount ]],Tableau1[Cost Type2],"Shipping",Tableau1[Status],"Paid")</f>
        <v>32323303</v>
      </c>
    </row>
    <row r="7" spans="2:13" x14ac:dyDescent="0.3">
      <c r="B7" t="s">
        <v>1</v>
      </c>
      <c r="C7" t="s">
        <v>2</v>
      </c>
      <c r="D7" t="s">
        <v>48</v>
      </c>
      <c r="E7" t="s">
        <v>20</v>
      </c>
      <c r="F7" t="s">
        <v>3</v>
      </c>
      <c r="G7" s="4" t="s">
        <v>82</v>
      </c>
      <c r="H7" s="4"/>
      <c r="J7" s="19" t="s">
        <v>34</v>
      </c>
      <c r="K7" s="20">
        <f>SUMIF(Tableau1[Variable/fix],"fix",Tableau1[[Amount ]])</f>
        <v>192500000</v>
      </c>
    </row>
    <row r="8" spans="2:13" x14ac:dyDescent="0.3">
      <c r="B8" s="8" t="s">
        <v>4</v>
      </c>
      <c r="C8" t="s">
        <v>24</v>
      </c>
      <c r="D8" t="s">
        <v>52</v>
      </c>
      <c r="E8" t="s">
        <v>21</v>
      </c>
      <c r="F8" t="s">
        <v>25</v>
      </c>
      <c r="G8" s="39">
        <v>519829056</v>
      </c>
      <c r="H8" s="7"/>
      <c r="J8" s="19" t="s">
        <v>35</v>
      </c>
      <c r="K8" s="20">
        <f>SUMIF(Tableau1[Variable/fix],"Variable",Tableau1[[Amount ]])</f>
        <v>1438036819</v>
      </c>
    </row>
    <row r="9" spans="2:13" x14ac:dyDescent="0.3">
      <c r="B9" s="8" t="s">
        <v>5</v>
      </c>
      <c r="C9" t="s">
        <v>24</v>
      </c>
      <c r="D9" t="s">
        <v>49</v>
      </c>
      <c r="E9" t="s">
        <v>21</v>
      </c>
      <c r="F9" t="s">
        <v>25</v>
      </c>
      <c r="G9" s="39">
        <v>6122484</v>
      </c>
      <c r="H9" s="7"/>
      <c r="J9" s="19" t="s">
        <v>36</v>
      </c>
      <c r="K9" s="20">
        <f>SUM(K7:K8)</f>
        <v>1630536819</v>
      </c>
    </row>
    <row r="10" spans="2:13" x14ac:dyDescent="0.3">
      <c r="B10" s="8" t="s">
        <v>6</v>
      </c>
      <c r="C10" t="s">
        <v>24</v>
      </c>
      <c r="D10" t="s">
        <v>29</v>
      </c>
      <c r="E10" t="s">
        <v>21</v>
      </c>
      <c r="F10" t="s">
        <v>25</v>
      </c>
      <c r="G10" s="39">
        <v>150435540</v>
      </c>
      <c r="H10" s="7"/>
    </row>
    <row r="11" spans="2:13" x14ac:dyDescent="0.3">
      <c r="B11" s="8" t="s">
        <v>7</v>
      </c>
      <c r="C11" t="s">
        <v>24</v>
      </c>
      <c r="D11" t="s">
        <v>49</v>
      </c>
      <c r="E11" t="s">
        <v>21</v>
      </c>
      <c r="F11" t="s">
        <v>25</v>
      </c>
      <c r="G11" s="39">
        <v>6840000</v>
      </c>
      <c r="H11" s="7"/>
      <c r="J11" s="21" t="s">
        <v>37</v>
      </c>
      <c r="K11" s="22">
        <f>SUMIF(Tableau1[Status],"Paid",Tableau1[[Amount ]])</f>
        <v>986361819</v>
      </c>
    </row>
    <row r="12" spans="2:13" x14ac:dyDescent="0.3">
      <c r="B12" s="8" t="s">
        <v>8</v>
      </c>
      <c r="C12" t="s">
        <v>24</v>
      </c>
      <c r="D12" t="s">
        <v>51</v>
      </c>
      <c r="E12" t="s">
        <v>21</v>
      </c>
      <c r="F12" t="s">
        <v>25</v>
      </c>
      <c r="G12" s="39">
        <v>12753830</v>
      </c>
      <c r="H12" s="7"/>
      <c r="J12" s="21" t="s">
        <v>38</v>
      </c>
      <c r="K12" s="22">
        <f>SUMIF(Tableau1[Status],"Coming",Tableau1[[Amount ]])</f>
        <v>644175000</v>
      </c>
    </row>
    <row r="13" spans="2:13" x14ac:dyDescent="0.3">
      <c r="B13" s="8" t="s">
        <v>8</v>
      </c>
      <c r="C13" t="s">
        <v>24</v>
      </c>
      <c r="D13" t="s">
        <v>51</v>
      </c>
      <c r="E13" t="s">
        <v>21</v>
      </c>
      <c r="F13" t="s">
        <v>25</v>
      </c>
      <c r="G13" s="39">
        <v>13006957.5</v>
      </c>
      <c r="H13" s="7"/>
    </row>
    <row r="14" spans="2:13" x14ac:dyDescent="0.3">
      <c r="B14" s="8" t="s">
        <v>8</v>
      </c>
      <c r="C14" t="s">
        <v>24</v>
      </c>
      <c r="D14" t="s">
        <v>51</v>
      </c>
      <c r="E14" t="s">
        <v>21</v>
      </c>
      <c r="F14" t="s">
        <v>25</v>
      </c>
      <c r="G14" s="39">
        <v>12558920</v>
      </c>
      <c r="H14" s="7"/>
    </row>
    <row r="15" spans="2:13" ht="15.6" x14ac:dyDescent="0.3">
      <c r="B15" s="8" t="s">
        <v>8</v>
      </c>
      <c r="C15" t="s">
        <v>24</v>
      </c>
      <c r="D15" t="s">
        <v>51</v>
      </c>
      <c r="E15" t="s">
        <v>21</v>
      </c>
      <c r="F15" t="s">
        <v>25</v>
      </c>
      <c r="G15" s="39">
        <v>13114815</v>
      </c>
      <c r="H15" s="7"/>
      <c r="J15" s="16" t="s">
        <v>46</v>
      </c>
    </row>
    <row r="16" spans="2:13" x14ac:dyDescent="0.3">
      <c r="B16" s="8" t="s">
        <v>8</v>
      </c>
      <c r="C16" t="s">
        <v>24</v>
      </c>
      <c r="D16" t="s">
        <v>51</v>
      </c>
      <c r="E16" t="s">
        <v>21</v>
      </c>
      <c r="F16" t="s">
        <v>25</v>
      </c>
      <c r="G16" s="39">
        <v>12589397.5</v>
      </c>
      <c r="H16" s="7"/>
      <c r="J16" s="27" t="s">
        <v>43</v>
      </c>
      <c r="K16" s="14">
        <f>K9/$E$2</f>
        <v>305744.76261016313</v>
      </c>
    </row>
    <row r="17" spans="2:11" x14ac:dyDescent="0.3">
      <c r="B17" s="8" t="s">
        <v>9</v>
      </c>
      <c r="C17" t="s">
        <v>24</v>
      </c>
      <c r="D17" t="s">
        <v>49</v>
      </c>
      <c r="E17" t="s">
        <v>21</v>
      </c>
      <c r="F17" t="s">
        <v>25</v>
      </c>
      <c r="G17" s="39">
        <v>9831899</v>
      </c>
      <c r="H17" s="7"/>
      <c r="J17" s="27" t="s">
        <v>44</v>
      </c>
      <c r="K17" s="26">
        <f>K16/K2</f>
        <v>17.461151491157231</v>
      </c>
    </row>
    <row r="18" spans="2:11" x14ac:dyDescent="0.3">
      <c r="B18" s="8" t="s">
        <v>10</v>
      </c>
      <c r="C18" t="s">
        <v>24</v>
      </c>
      <c r="D18" t="s">
        <v>49</v>
      </c>
      <c r="E18" t="s">
        <v>21</v>
      </c>
      <c r="F18" t="s">
        <v>25</v>
      </c>
      <c r="G18" s="39">
        <v>9528920</v>
      </c>
      <c r="H18" s="7"/>
    </row>
    <row r="19" spans="2:11" x14ac:dyDescent="0.3">
      <c r="B19" s="8" t="s">
        <v>11</v>
      </c>
      <c r="C19" t="s">
        <v>24</v>
      </c>
      <c r="D19" t="s">
        <v>84</v>
      </c>
      <c r="E19" t="s">
        <v>21</v>
      </c>
      <c r="F19" t="s">
        <v>25</v>
      </c>
      <c r="G19" s="39">
        <v>3500000</v>
      </c>
      <c r="H19" s="7"/>
    </row>
    <row r="20" spans="2:11" ht="15.6" x14ac:dyDescent="0.3">
      <c r="B20" s="8" t="s">
        <v>12</v>
      </c>
      <c r="C20" t="s">
        <v>23</v>
      </c>
      <c r="D20" t="s">
        <v>56</v>
      </c>
      <c r="E20" t="s">
        <v>21</v>
      </c>
      <c r="F20" t="s">
        <v>25</v>
      </c>
      <c r="G20" s="39">
        <v>2500000</v>
      </c>
      <c r="H20" s="7"/>
      <c r="J20" s="17" t="s">
        <v>59</v>
      </c>
      <c r="K20" s="18"/>
    </row>
    <row r="21" spans="2:11" x14ac:dyDescent="0.3">
      <c r="B21" s="8" t="s">
        <v>13</v>
      </c>
      <c r="C21" t="s">
        <v>24</v>
      </c>
      <c r="D21" t="s">
        <v>84</v>
      </c>
      <c r="E21" t="s">
        <v>21</v>
      </c>
      <c r="F21" t="s">
        <v>25</v>
      </c>
      <c r="G21" s="39">
        <v>1750000</v>
      </c>
      <c r="H21" s="7"/>
      <c r="J21" s="23" t="s">
        <v>47</v>
      </c>
      <c r="K21" s="24" t="s">
        <v>83</v>
      </c>
    </row>
    <row r="22" spans="2:11" x14ac:dyDescent="0.3">
      <c r="B22" s="8" t="s">
        <v>8</v>
      </c>
      <c r="C22" t="s">
        <v>24</v>
      </c>
      <c r="D22" t="s">
        <v>51</v>
      </c>
      <c r="E22" t="s">
        <v>21</v>
      </c>
      <c r="F22" t="s">
        <v>25</v>
      </c>
      <c r="G22" s="39">
        <v>12000000</v>
      </c>
      <c r="H22" s="7"/>
      <c r="J22" s="8" t="s">
        <v>57</v>
      </c>
      <c r="K22" s="9">
        <f>SUMIF(Tableau1[Cost Type2],J22,Tableau1[[Amount ]])</f>
        <v>30000000</v>
      </c>
    </row>
    <row r="23" spans="2:11" x14ac:dyDescent="0.3">
      <c r="B23" s="8" t="s">
        <v>14</v>
      </c>
      <c r="C23" t="s">
        <v>24</v>
      </c>
      <c r="D23" t="s">
        <v>84</v>
      </c>
      <c r="E23" t="s">
        <v>21</v>
      </c>
      <c r="F23" t="s">
        <v>25</v>
      </c>
      <c r="G23" s="39">
        <v>50000000</v>
      </c>
      <c r="H23" s="7"/>
      <c r="J23" s="8" t="s">
        <v>26</v>
      </c>
      <c r="K23" s="9">
        <f>SUMIF(Tableau1[Cost Type2],J23,Tableau1[[Amount ]])</f>
        <v>295000000</v>
      </c>
    </row>
    <row r="24" spans="2:11" x14ac:dyDescent="0.3">
      <c r="B24" s="8" t="s">
        <v>15</v>
      </c>
      <c r="C24" t="s">
        <v>24</v>
      </c>
      <c r="D24" t="s">
        <v>54</v>
      </c>
      <c r="E24" t="s">
        <v>21</v>
      </c>
      <c r="F24" t="s">
        <v>25</v>
      </c>
      <c r="G24" s="39">
        <v>50000000</v>
      </c>
      <c r="H24" s="7"/>
      <c r="J24" s="8" t="s">
        <v>29</v>
      </c>
      <c r="K24" s="9">
        <f>SUMIF(Tableau1[Cost Type2],J24,Tableau1[[Amount ]])</f>
        <v>150435540</v>
      </c>
    </row>
    <row r="25" spans="2:11" x14ac:dyDescent="0.3">
      <c r="B25" s="8" t="s">
        <v>16</v>
      </c>
      <c r="C25" t="s">
        <v>24</v>
      </c>
      <c r="D25" t="s">
        <v>54</v>
      </c>
      <c r="E25" t="s">
        <v>21</v>
      </c>
      <c r="F25" t="s">
        <v>25</v>
      </c>
      <c r="G25" s="39">
        <v>50000000</v>
      </c>
      <c r="H25" s="7"/>
      <c r="J25" s="8" t="s">
        <v>54</v>
      </c>
      <c r="K25" s="9">
        <f>SUMIF(Tableau1[Cost Type2],J25,Tableau1[[Amount ]])</f>
        <v>189175000</v>
      </c>
    </row>
    <row r="26" spans="2:11" x14ac:dyDescent="0.3">
      <c r="B26" s="8" t="s">
        <v>17</v>
      </c>
      <c r="C26" t="s">
        <v>23</v>
      </c>
      <c r="D26" t="s">
        <v>56</v>
      </c>
      <c r="E26" t="s">
        <v>21</v>
      </c>
      <c r="F26" t="s">
        <v>25</v>
      </c>
      <c r="G26" s="39">
        <v>50000000</v>
      </c>
      <c r="H26" s="7"/>
      <c r="J26" s="8" t="s">
        <v>52</v>
      </c>
      <c r="K26" s="9">
        <f>SUMIF(Tableau1[Cost Type2],J26,Tableau1[[Amount ]])</f>
        <v>519829056</v>
      </c>
    </row>
    <row r="27" spans="2:11" x14ac:dyDescent="0.3">
      <c r="B27" s="8" t="s">
        <v>18</v>
      </c>
      <c r="C27" t="s">
        <v>23</v>
      </c>
      <c r="D27" t="s">
        <v>50</v>
      </c>
      <c r="E27" t="s">
        <v>22</v>
      </c>
      <c r="F27" t="s">
        <v>25</v>
      </c>
      <c r="G27" s="40">
        <v>50000000</v>
      </c>
      <c r="H27" s="6"/>
      <c r="J27" s="8" t="s">
        <v>56</v>
      </c>
      <c r="K27" s="9">
        <f>SUMIF(Tableau1[Cost Type2],J27,Tableau1[[Amount ]])</f>
        <v>52500000</v>
      </c>
    </row>
    <row r="28" spans="2:11" x14ac:dyDescent="0.3">
      <c r="B28" s="8" t="s">
        <v>19</v>
      </c>
      <c r="C28" t="s">
        <v>23</v>
      </c>
      <c r="D28" t="s">
        <v>55</v>
      </c>
      <c r="E28" t="s">
        <v>22</v>
      </c>
      <c r="F28" t="s">
        <v>25</v>
      </c>
      <c r="G28" s="40">
        <v>90000000</v>
      </c>
      <c r="H28" s="6"/>
      <c r="J28" s="8" t="s">
        <v>50</v>
      </c>
      <c r="K28" s="9">
        <f>SUMIF(Tableau1[Cost Type2],J28,Tableau1[[Amount ]])</f>
        <v>50000000</v>
      </c>
    </row>
    <row r="29" spans="2:11" x14ac:dyDescent="0.3">
      <c r="B29" s="8" t="s">
        <v>27</v>
      </c>
      <c r="C29" t="s">
        <v>24</v>
      </c>
      <c r="D29" t="s">
        <v>26</v>
      </c>
      <c r="E29" t="s">
        <v>22</v>
      </c>
      <c r="F29" t="s">
        <v>25</v>
      </c>
      <c r="G29" s="39">
        <v>55000000</v>
      </c>
      <c r="H29" s="7"/>
      <c r="J29" s="8" t="s">
        <v>55</v>
      </c>
      <c r="K29" s="9">
        <f>SUMIF(Tableau1[Cost Type2],J29,Tableau1[[Amount ]])</f>
        <v>90000000</v>
      </c>
    </row>
    <row r="30" spans="2:11" x14ac:dyDescent="0.3">
      <c r="B30" s="8" t="s">
        <v>28</v>
      </c>
      <c r="C30" t="s">
        <v>24</v>
      </c>
      <c r="D30" t="s">
        <v>26</v>
      </c>
      <c r="E30" t="s">
        <v>22</v>
      </c>
      <c r="F30" t="s">
        <v>25</v>
      </c>
      <c r="G30" s="39">
        <v>240000000</v>
      </c>
      <c r="H30" s="7"/>
      <c r="J30" s="8" t="s">
        <v>49</v>
      </c>
      <c r="K30" s="9">
        <f>SUMIF(Tableau1[Cost Type2],J30,Tableau1[[Amount ]])</f>
        <v>32323303</v>
      </c>
    </row>
    <row r="31" spans="2:11" x14ac:dyDescent="0.3">
      <c r="B31" s="8" t="s">
        <v>30</v>
      </c>
      <c r="C31" t="s">
        <v>24</v>
      </c>
      <c r="D31" t="s">
        <v>57</v>
      </c>
      <c r="E31" t="s">
        <v>22</v>
      </c>
      <c r="F31" t="s">
        <v>25</v>
      </c>
      <c r="G31" s="39">
        <v>30000000</v>
      </c>
      <c r="H31" s="7"/>
      <c r="J31" s="8" t="s">
        <v>51</v>
      </c>
      <c r="K31" s="9">
        <f>SUMIF(Tableau1[Cost Type2],J31,Tableau1[[Amount ]])</f>
        <v>76023920</v>
      </c>
    </row>
    <row r="32" spans="2:11" x14ac:dyDescent="0.3">
      <c r="B32" s="8" t="s">
        <v>31</v>
      </c>
      <c r="C32" t="s">
        <v>24</v>
      </c>
      <c r="D32" t="s">
        <v>58</v>
      </c>
      <c r="E32" t="s">
        <v>22</v>
      </c>
      <c r="F32" t="s">
        <v>25</v>
      </c>
      <c r="G32" s="39">
        <v>90000000</v>
      </c>
      <c r="H32" s="7"/>
      <c r="J32" s="8" t="s">
        <v>53</v>
      </c>
      <c r="K32" s="9">
        <f>SUMIF(Tableau1[Cost Type2],J32,Tableau1[[Amount ]])</f>
        <v>0</v>
      </c>
    </row>
    <row r="33" spans="2:11" x14ac:dyDescent="0.3">
      <c r="B33" s="8" t="s">
        <v>32</v>
      </c>
      <c r="C33" t="s">
        <v>24</v>
      </c>
      <c r="D33" t="s">
        <v>57</v>
      </c>
      <c r="E33" t="s">
        <v>22</v>
      </c>
      <c r="F33" t="s">
        <v>25</v>
      </c>
      <c r="G33" s="39">
        <v>0</v>
      </c>
      <c r="H33" s="7"/>
      <c r="J33" s="8" t="s">
        <v>58</v>
      </c>
      <c r="K33" s="9">
        <f>SUMIF(Tableau1[Cost Type2],J33,Tableau1[[Amount ]])</f>
        <v>90000000</v>
      </c>
    </row>
    <row r="34" spans="2:11" x14ac:dyDescent="0.3">
      <c r="B34" s="8" t="s">
        <v>33</v>
      </c>
      <c r="C34" t="s">
        <v>24</v>
      </c>
      <c r="D34" t="s">
        <v>54</v>
      </c>
      <c r="E34" t="s">
        <v>22</v>
      </c>
      <c r="F34" t="s">
        <v>25</v>
      </c>
      <c r="G34" s="39">
        <v>89175000</v>
      </c>
      <c r="H34" s="7"/>
      <c r="J34" s="8" t="s">
        <v>84</v>
      </c>
      <c r="K34" s="9">
        <f>SUMIF(Tableau1[Cost Type2],J34,Tableau1[[Amount ]])</f>
        <v>55250000</v>
      </c>
    </row>
  </sheetData>
  <dataValidations count="4">
    <dataValidation type="list" allowBlank="1" showInputMessage="1" showErrorMessage="1" sqref="C8:C34" xr:uid="{4805BA3E-C3D5-4072-9D84-D37AEA78D9A7}">
      <formula1>"Variable, fix"</formula1>
    </dataValidation>
    <dataValidation type="list" allowBlank="1" showInputMessage="1" showErrorMessage="1" sqref="F8:F34" xr:uid="{B9D04333-032C-4590-A927-C9F55301CBFD}">
      <formula1>"IDR, CHF, EURO, USD"</formula1>
    </dataValidation>
    <dataValidation type="list" allowBlank="1" showInputMessage="1" showErrorMessage="1" sqref="E8:E34" xr:uid="{BC918788-9EA0-4F16-9D8E-DBCFE03409C7}">
      <formula1>"Paid, Coming"</formula1>
    </dataValidation>
    <dataValidation type="list" allowBlank="1" showInputMessage="1" showErrorMessage="1" sqref="D8:D34" xr:uid="{5E960E4F-EA3A-4316-8F5D-F1DE502757ED}">
      <formula1>CostType</formula1>
    </dataValidation>
  </dataValidations>
  <pageMargins left="0.7" right="0.7" top="0.75" bottom="0.75" header="0.3" footer="0.3"/>
  <tableParts count="2">
    <tablePart r:id="rId1"/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C1B26-6AA5-46E7-9E66-FBA37B309552}">
  <dimension ref="A2:N12"/>
  <sheetViews>
    <sheetView showGridLines="0" tabSelected="1" workbookViewId="0">
      <selection activeCell="M11" sqref="M11"/>
    </sheetView>
  </sheetViews>
  <sheetFormatPr baseColWidth="10" defaultRowHeight="14.4" x14ac:dyDescent="0.3"/>
  <cols>
    <col min="8" max="8" width="13.44140625" customWidth="1"/>
    <col min="9" max="9" width="13.109375" customWidth="1"/>
    <col min="13" max="13" width="13" customWidth="1"/>
    <col min="14" max="14" width="13.5546875" customWidth="1"/>
  </cols>
  <sheetData>
    <row r="2" spans="1:14" ht="57.6" x14ac:dyDescent="0.3">
      <c r="A2" s="117"/>
      <c r="B2" s="117" t="s">
        <v>170</v>
      </c>
      <c r="C2" s="119" t="s">
        <v>189</v>
      </c>
      <c r="D2" s="119" t="s">
        <v>193</v>
      </c>
      <c r="E2" s="119" t="s">
        <v>194</v>
      </c>
      <c r="F2" s="119" t="s">
        <v>201</v>
      </c>
      <c r="G2" s="119" t="s">
        <v>183</v>
      </c>
      <c r="H2" s="119" t="s">
        <v>195</v>
      </c>
      <c r="I2" s="153" t="s">
        <v>178</v>
      </c>
      <c r="J2" s="115" t="s">
        <v>172</v>
      </c>
      <c r="K2" s="119" t="s">
        <v>196</v>
      </c>
      <c r="L2" s="119" t="s">
        <v>203</v>
      </c>
      <c r="M2" s="115" t="s">
        <v>200</v>
      </c>
      <c r="N2" s="119" t="s">
        <v>202</v>
      </c>
    </row>
    <row r="3" spans="1:14" x14ac:dyDescent="0.3">
      <c r="A3" s="149" t="s">
        <v>167</v>
      </c>
      <c r="B3" s="151">
        <v>189881</v>
      </c>
      <c r="C3" s="118">
        <f>B3*3</f>
        <v>569643</v>
      </c>
      <c r="D3" s="118">
        <f>B3+C3</f>
        <v>759524</v>
      </c>
      <c r="E3" s="118">
        <f>I3-H3</f>
        <v>425454.54545454541</v>
      </c>
      <c r="F3" s="118">
        <f>E3-B3</f>
        <v>235573.54545454541</v>
      </c>
      <c r="G3" s="152">
        <f>F3/B3</f>
        <v>1.2406377965912621</v>
      </c>
      <c r="H3" s="118">
        <f>I3*0.4</f>
        <v>283636.36363636365</v>
      </c>
      <c r="I3" s="118">
        <f>K3/1.1</f>
        <v>709090.90909090906</v>
      </c>
      <c r="J3" s="118">
        <f>K3-I3</f>
        <v>70909.090909090941</v>
      </c>
      <c r="K3" s="129">
        <v>780000</v>
      </c>
      <c r="L3" s="117">
        <v>2707</v>
      </c>
      <c r="M3" s="118">
        <f>L3*F3</f>
        <v>637697587.54545438</v>
      </c>
      <c r="N3" s="150">
        <f>B3*L3</f>
        <v>514007867</v>
      </c>
    </row>
    <row r="4" spans="1:14" x14ac:dyDescent="0.3">
      <c r="A4" s="149" t="s">
        <v>168</v>
      </c>
      <c r="B4" s="151">
        <v>156739</v>
      </c>
      <c r="C4" s="118">
        <f t="shared" ref="C4:C5" si="0">B4*3</f>
        <v>470217</v>
      </c>
      <c r="D4" s="118">
        <f t="shared" ref="D4:D5" si="1">B4+C4</f>
        <v>626956</v>
      </c>
      <c r="E4" s="118">
        <f t="shared" ref="E4:E5" si="2">I4-H4</f>
        <v>324000</v>
      </c>
      <c r="F4" s="118">
        <f t="shared" ref="F4:F5" si="3">E4-B4</f>
        <v>167261</v>
      </c>
      <c r="G4" s="152">
        <f t="shared" ref="G4:G5" si="4">F4/B4</f>
        <v>1.067130707737066</v>
      </c>
      <c r="H4" s="118">
        <f t="shared" ref="H4:H5" si="5">I4*0.4</f>
        <v>216000</v>
      </c>
      <c r="I4" s="118">
        <f t="shared" ref="I4:I5" si="6">K4/1.1</f>
        <v>540000</v>
      </c>
      <c r="J4" s="118">
        <f t="shared" ref="J4:J5" si="7">K4-I4</f>
        <v>54000</v>
      </c>
      <c r="K4" s="129">
        <v>594000</v>
      </c>
      <c r="L4" s="117">
        <v>1789</v>
      </c>
      <c r="M4" s="118">
        <f t="shared" ref="M4:M5" si="8">L4*F4</f>
        <v>299229929</v>
      </c>
      <c r="N4" s="150">
        <f t="shared" ref="N4:N5" si="9">B4*L4</f>
        <v>280406071</v>
      </c>
    </row>
    <row r="5" spans="1:14" x14ac:dyDescent="0.3">
      <c r="A5" s="149" t="s">
        <v>169</v>
      </c>
      <c r="B5" s="151">
        <v>203843</v>
      </c>
      <c r="C5" s="118">
        <f t="shared" si="0"/>
        <v>611529</v>
      </c>
      <c r="D5" s="118">
        <f t="shared" si="1"/>
        <v>815372</v>
      </c>
      <c r="E5" s="118">
        <f t="shared" si="2"/>
        <v>382909.09090909082</v>
      </c>
      <c r="F5" s="118">
        <f t="shared" si="3"/>
        <v>179066.09090909082</v>
      </c>
      <c r="G5" s="152">
        <f t="shared" si="4"/>
        <v>0.87845101823016158</v>
      </c>
      <c r="H5" s="118">
        <f t="shared" si="5"/>
        <v>255272.72727272726</v>
      </c>
      <c r="I5" s="118">
        <f t="shared" si="6"/>
        <v>638181.81818181812</v>
      </c>
      <c r="J5" s="118">
        <f t="shared" si="7"/>
        <v>63818.181818181882</v>
      </c>
      <c r="K5" s="129">
        <v>702000</v>
      </c>
      <c r="L5" s="117">
        <v>1663</v>
      </c>
      <c r="M5" s="118">
        <f t="shared" si="8"/>
        <v>297786909.18181807</v>
      </c>
      <c r="N5" s="150">
        <f t="shared" si="9"/>
        <v>338990909</v>
      </c>
    </row>
    <row r="6" spans="1:14" x14ac:dyDescent="0.3">
      <c r="M6" s="121">
        <f>SUM(M3:M5)</f>
        <v>1234714425.7272725</v>
      </c>
      <c r="N6" s="156">
        <f>SUM(N3:N5)</f>
        <v>1133404847</v>
      </c>
    </row>
    <row r="7" spans="1:14" x14ac:dyDescent="0.3">
      <c r="N7" s="159"/>
    </row>
    <row r="8" spans="1:14" ht="57.6" x14ac:dyDescent="0.3">
      <c r="B8" s="115" t="s">
        <v>170</v>
      </c>
      <c r="C8" s="119" t="s">
        <v>190</v>
      </c>
      <c r="D8" s="119" t="s">
        <v>191</v>
      </c>
      <c r="E8" s="115" t="s">
        <v>192</v>
      </c>
      <c r="F8" s="119" t="s">
        <v>199</v>
      </c>
      <c r="G8" s="119" t="s">
        <v>203</v>
      </c>
      <c r="H8" s="154" t="s">
        <v>198</v>
      </c>
      <c r="I8" s="154" t="s">
        <v>202</v>
      </c>
      <c r="N8" s="159"/>
    </row>
    <row r="9" spans="1:14" x14ac:dyDescent="0.3">
      <c r="A9" s="149" t="s">
        <v>167</v>
      </c>
      <c r="B9" s="151">
        <v>189881</v>
      </c>
      <c r="C9" s="118">
        <f>780000/1.1</f>
        <v>709090.90909090906</v>
      </c>
      <c r="D9" s="129">
        <v>780000</v>
      </c>
      <c r="E9" s="152">
        <f>(C9-B9)/B9</f>
        <v>2.7343963276521035</v>
      </c>
      <c r="F9" s="118">
        <f>C9-B9</f>
        <v>519209.90909090906</v>
      </c>
      <c r="G9" s="117">
        <v>2707</v>
      </c>
      <c r="H9" s="118">
        <f>F9*G9</f>
        <v>1405501223.9090908</v>
      </c>
      <c r="I9" s="150">
        <f>B9*G9</f>
        <v>514007867</v>
      </c>
    </row>
    <row r="10" spans="1:14" x14ac:dyDescent="0.3">
      <c r="A10" s="149" t="s">
        <v>168</v>
      </c>
      <c r="B10" s="151">
        <v>156739</v>
      </c>
      <c r="C10" s="118">
        <f>594000/1.1</f>
        <v>540000</v>
      </c>
      <c r="D10" s="129">
        <v>594000</v>
      </c>
      <c r="E10" s="152">
        <f t="shared" ref="E10:E11" si="10">(C10-B10)/B10</f>
        <v>2.4452178462284433</v>
      </c>
      <c r="F10" s="118">
        <f t="shared" ref="F10:F11" si="11">C10-B10</f>
        <v>383261</v>
      </c>
      <c r="G10" s="117">
        <v>1789</v>
      </c>
      <c r="H10" s="118">
        <f t="shared" ref="H10:H11" si="12">F10*G10</f>
        <v>685653929</v>
      </c>
      <c r="I10" s="150">
        <f t="shared" ref="I10:I11" si="13">B10*G10</f>
        <v>280406071</v>
      </c>
    </row>
    <row r="11" spans="1:14" x14ac:dyDescent="0.3">
      <c r="A11" s="149" t="s">
        <v>169</v>
      </c>
      <c r="B11" s="151">
        <v>203843</v>
      </c>
      <c r="C11" s="118">
        <f>702000/1.1</f>
        <v>638181.81818181812</v>
      </c>
      <c r="D11" s="129">
        <v>702000</v>
      </c>
      <c r="E11" s="152">
        <f t="shared" si="10"/>
        <v>2.1307516970502696</v>
      </c>
      <c r="F11" s="118">
        <f t="shared" si="11"/>
        <v>434338.81818181812</v>
      </c>
      <c r="G11" s="117">
        <v>1663</v>
      </c>
      <c r="H11" s="118">
        <f t="shared" si="12"/>
        <v>722305454.63636351</v>
      </c>
      <c r="I11" s="150">
        <f t="shared" si="13"/>
        <v>338990909</v>
      </c>
    </row>
    <row r="12" spans="1:14" x14ac:dyDescent="0.3">
      <c r="H12" s="121">
        <f>SUM(H9:H11)</f>
        <v>2813460607.545454</v>
      </c>
      <c r="I12" s="156">
        <f>SUM(I9:I11)</f>
        <v>1133404847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57362-AF2C-48EA-A84B-1E4F8C1C5A24}">
  <dimension ref="A1:M37"/>
  <sheetViews>
    <sheetView showGridLines="0" workbookViewId="0">
      <selection activeCell="F21" sqref="F21"/>
    </sheetView>
  </sheetViews>
  <sheetFormatPr baseColWidth="10" defaultRowHeight="14.4" x14ac:dyDescent="0.3"/>
  <cols>
    <col min="1" max="1" width="41.5546875" customWidth="1"/>
    <col min="2" max="2" width="31.5546875" customWidth="1"/>
    <col min="3" max="3" width="17.33203125" customWidth="1"/>
    <col min="4" max="4" width="14" bestFit="1" customWidth="1"/>
    <col min="5" max="5" width="18.6640625" customWidth="1"/>
    <col min="6" max="6" width="25.33203125" bestFit="1" customWidth="1"/>
    <col min="7" max="7" width="16.6640625" customWidth="1"/>
    <col min="9" max="9" width="6.33203125" customWidth="1"/>
    <col min="10" max="10" width="20" customWidth="1"/>
    <col min="11" max="11" width="9.109375" customWidth="1"/>
    <col min="12" max="12" width="13.44140625" customWidth="1"/>
  </cols>
  <sheetData>
    <row r="1" spans="1:13" ht="15.75" customHeight="1" x14ac:dyDescent="0.3">
      <c r="A1" s="147" t="s">
        <v>163</v>
      </c>
      <c r="B1" s="8" t="s">
        <v>118</v>
      </c>
      <c r="C1" s="65">
        <f>SocialMedia+Location</f>
        <v>174000000</v>
      </c>
      <c r="D1" s="69">
        <v>1</v>
      </c>
      <c r="E1" s="12"/>
      <c r="J1" s="91" t="s">
        <v>153</v>
      </c>
      <c r="K1" s="100" t="s">
        <v>89</v>
      </c>
      <c r="L1" s="99"/>
    </row>
    <row r="2" spans="1:13" ht="15.75" customHeight="1" x14ac:dyDescent="0.3">
      <c r="A2" s="147"/>
      <c r="B2" s="8" t="s">
        <v>150</v>
      </c>
      <c r="C2" s="66">
        <f>SUMIF(Tableau3[Status],"1",Tableau3[Amount(IDR)])</f>
        <v>245267733</v>
      </c>
      <c r="D2" s="74">
        <v>1</v>
      </c>
      <c r="E2" s="7"/>
      <c r="F2" s="8" t="s">
        <v>67</v>
      </c>
      <c r="G2" s="83">
        <f>EUR_IDR</f>
        <v>18000</v>
      </c>
      <c r="H2" s="35">
        <v>45383</v>
      </c>
      <c r="J2" s="87" t="s">
        <v>87</v>
      </c>
      <c r="K2" s="92">
        <v>40</v>
      </c>
      <c r="L2" s="106"/>
    </row>
    <row r="3" spans="1:13" ht="15.6" x14ac:dyDescent="0.3">
      <c r="A3" s="147"/>
      <c r="B3" s="8" t="s">
        <v>66</v>
      </c>
      <c r="C3" s="7">
        <f>D3*G2</f>
        <v>3645000</v>
      </c>
      <c r="D3" s="77">
        <v>202.5</v>
      </c>
      <c r="E3" s="7"/>
      <c r="F3" s="8" t="s">
        <v>113</v>
      </c>
      <c r="G3" s="64">
        <v>0.12576000000000001</v>
      </c>
      <c r="J3" s="87" t="s">
        <v>88</v>
      </c>
      <c r="K3" s="101">
        <v>69.900000000000006</v>
      </c>
      <c r="L3" s="107">
        <f>K3*G2</f>
        <v>1258200</v>
      </c>
    </row>
    <row r="4" spans="1:13" ht="15.6" x14ac:dyDescent="0.3">
      <c r="A4" s="147"/>
      <c r="B4" s="8" t="s">
        <v>105</v>
      </c>
      <c r="C4" s="68">
        <v>58000</v>
      </c>
      <c r="D4" s="12" t="s">
        <v>90</v>
      </c>
      <c r="F4" s="8" t="s">
        <v>114</v>
      </c>
      <c r="G4" s="64">
        <v>0.54657</v>
      </c>
      <c r="J4" s="87" t="s">
        <v>151</v>
      </c>
      <c r="K4" s="93">
        <f>K3*(100-K2)/100</f>
        <v>41.94</v>
      </c>
      <c r="L4" s="107">
        <f>K4*G2</f>
        <v>754920</v>
      </c>
    </row>
    <row r="5" spans="1:13" x14ac:dyDescent="0.3">
      <c r="A5" s="147"/>
      <c r="B5" s="8" t="s">
        <v>102</v>
      </c>
      <c r="C5" s="11">
        <f>C4/15</f>
        <v>3866.6666666666665</v>
      </c>
      <c r="D5" s="12">
        <f>C4/100</f>
        <v>580</v>
      </c>
      <c r="F5" s="8" t="s">
        <v>121</v>
      </c>
      <c r="G5" s="64">
        <v>0.43314000000000002</v>
      </c>
    </row>
    <row r="6" spans="1:13" x14ac:dyDescent="0.3">
      <c r="A6" s="147"/>
      <c r="B6" s="8" t="s">
        <v>103</v>
      </c>
      <c r="C6" s="11">
        <f>L7</f>
        <v>2706.6666666666661</v>
      </c>
      <c r="D6" s="76">
        <f>M7</f>
        <v>0</v>
      </c>
      <c r="F6" s="8" t="s">
        <v>81</v>
      </c>
      <c r="G6" s="64">
        <v>14500</v>
      </c>
      <c r="K6" t="s">
        <v>99</v>
      </c>
      <c r="L6" s="54" t="s">
        <v>107</v>
      </c>
      <c r="M6" s="4"/>
    </row>
    <row r="7" spans="1:13" x14ac:dyDescent="0.3">
      <c r="A7" s="8"/>
      <c r="B7" s="8" t="s">
        <v>116</v>
      </c>
      <c r="C7" s="55">
        <f>C5+'Rich Lotion'!C5+Emulsion!C5</f>
        <v>7499.9999999999991</v>
      </c>
      <c r="D7" s="8"/>
      <c r="F7" s="8" t="s">
        <v>78</v>
      </c>
      <c r="G7" s="84">
        <f>CHF_IDR</f>
        <v>17510</v>
      </c>
      <c r="H7" s="35">
        <v>45383</v>
      </c>
      <c r="J7" t="s">
        <v>97</v>
      </c>
      <c r="K7" s="46">
        <v>30</v>
      </c>
      <c r="L7" s="44">
        <f>C5*(100-K7)/100</f>
        <v>2706.6666666666661</v>
      </c>
      <c r="M7" s="44"/>
    </row>
    <row r="8" spans="1:13" x14ac:dyDescent="0.3">
      <c r="A8" s="8" t="s">
        <v>63</v>
      </c>
      <c r="B8" s="8" t="s">
        <v>64</v>
      </c>
      <c r="C8" s="8" t="s">
        <v>65</v>
      </c>
      <c r="D8" s="8" t="s">
        <v>90</v>
      </c>
      <c r="E8" s="8"/>
      <c r="F8" s="37" t="s">
        <v>85</v>
      </c>
      <c r="J8" s="8" t="s">
        <v>110</v>
      </c>
      <c r="K8" s="67">
        <v>13411.34</v>
      </c>
      <c r="L8" s="42" t="s">
        <v>152</v>
      </c>
      <c r="M8" s="45">
        <f>K8*(100-K9)/100</f>
        <v>13411.34</v>
      </c>
    </row>
    <row r="9" spans="1:13" x14ac:dyDescent="0.3">
      <c r="A9" t="s">
        <v>68</v>
      </c>
      <c r="B9" s="7">
        <f>C6*G5</f>
        <v>1172.3655999999999</v>
      </c>
      <c r="C9" s="7">
        <f>Tableau5[[#This Row],[Price(Euro)]]*G2</f>
        <v>21102580.799999997</v>
      </c>
      <c r="D9" s="7">
        <f>D6*G5*G2</f>
        <v>0</v>
      </c>
      <c r="F9" s="38">
        <f>Tableau5[[#This Row],[Price(IDR)]]/SUM(Tableau5[Price(IDR)])</f>
        <v>4.1059970176793067E-2</v>
      </c>
      <c r="J9" s="8" t="s">
        <v>112</v>
      </c>
      <c r="K9" s="46">
        <v>0</v>
      </c>
      <c r="M9" s="4"/>
    </row>
    <row r="10" spans="1:13" x14ac:dyDescent="0.3">
      <c r="A10" t="s">
        <v>69</v>
      </c>
      <c r="B10" s="7">
        <f>C6*G3</f>
        <v>340.39039999999994</v>
      </c>
      <c r="C10" s="7">
        <f>Tableau5[[#This Row],[Price(Euro)]]*G2</f>
        <v>6127027.1999999993</v>
      </c>
      <c r="D10" s="7">
        <f>D6*G3*G2</f>
        <v>0</v>
      </c>
      <c r="F10" s="38">
        <f>Tableau5[[#This Row],[Price(IDR)]]/SUM(Tableau5[Price(IDR)])</f>
        <v>1.192155388427182E-2</v>
      </c>
    </row>
    <row r="11" spans="1:13" x14ac:dyDescent="0.3">
      <c r="A11" t="s">
        <v>71</v>
      </c>
      <c r="B11" s="7">
        <f>C6*G4</f>
        <v>1479.3827999999996</v>
      </c>
      <c r="C11" s="7">
        <f>Tableau5[[#This Row],[Price(Euro)]]*G2</f>
        <v>26628890.399999995</v>
      </c>
      <c r="D11" s="7">
        <f>D6*G4*G2</f>
        <v>0</v>
      </c>
      <c r="F11" s="38">
        <f>Tableau5[[#This Row],[Price(IDR)]]/SUM(Tableau5[Price(IDR)])</f>
        <v>5.1812688506094537E-2</v>
      </c>
    </row>
    <row r="12" spans="1:13" x14ac:dyDescent="0.3">
      <c r="A12" t="s">
        <v>72</v>
      </c>
      <c r="B12" s="7"/>
      <c r="C12" s="7">
        <f>C2*(C6/C7)*D2</f>
        <v>88514399.642666668</v>
      </c>
      <c r="F12" s="38">
        <f>Tableau5[[#This Row],[Price(IDR)]]/SUM(Tableau5[Price(IDR)])</f>
        <v>0.17222531423950938</v>
      </c>
    </row>
    <row r="13" spans="1:13" x14ac:dyDescent="0.3">
      <c r="A13" t="s">
        <v>120</v>
      </c>
      <c r="B13" s="7"/>
      <c r="C13" s="7">
        <f>C1*C5/C7*D1</f>
        <v>89706666.666666672</v>
      </c>
      <c r="F13" s="38">
        <f>Tableau5[[#This Row],[Price(IDR)]]/SUM(Tableau5[Price(IDR)])</f>
        <v>0.17454514653453435</v>
      </c>
    </row>
    <row r="14" spans="1:13" x14ac:dyDescent="0.3">
      <c r="A14" t="s">
        <v>73</v>
      </c>
      <c r="B14" s="7"/>
      <c r="C14" s="7">
        <v>0</v>
      </c>
      <c r="F14" s="38">
        <f>Tableau5[[#This Row],[Price(IDR)]]/SUM(Tableau5[Price(IDR)])</f>
        <v>0</v>
      </c>
    </row>
    <row r="15" spans="1:13" x14ac:dyDescent="0.3">
      <c r="A15" t="s">
        <v>74</v>
      </c>
      <c r="B15" s="7"/>
      <c r="C15" s="7">
        <v>0</v>
      </c>
      <c r="F15" s="38">
        <f>Tableau5[[#This Row],[Price(IDR)]]/SUM(Tableau5[Price(IDR)])</f>
        <v>0</v>
      </c>
    </row>
    <row r="16" spans="1:13" x14ac:dyDescent="0.3">
      <c r="A16" t="s">
        <v>75</v>
      </c>
      <c r="B16" s="7">
        <f>M8</f>
        <v>13411.34</v>
      </c>
      <c r="C16" s="7">
        <f>Tableau5[[#This Row],[Price(Euro)]]*G2</f>
        <v>241404120</v>
      </c>
      <c r="E16" s="59"/>
      <c r="F16" s="38">
        <f>Tableau5[[#This Row],[Price(IDR)]]/SUM(Tableau5[Price(IDR)])</f>
        <v>0.46970776047235779</v>
      </c>
    </row>
    <row r="17" spans="1:7" x14ac:dyDescent="0.3">
      <c r="A17" t="s">
        <v>76</v>
      </c>
      <c r="B17" s="7">
        <f>D3/3</f>
        <v>67.5</v>
      </c>
      <c r="C17" s="7">
        <f>Tableau5[[#This Row],[Price(Euro)]]*$G$2</f>
        <v>1215000</v>
      </c>
      <c r="F17" s="38">
        <f>Tableau5[[#This Row],[Price(IDR)]]/SUM(Tableau5[Price(IDR)])</f>
        <v>2.3640645775801785E-3</v>
      </c>
    </row>
    <row r="18" spans="1:7" x14ac:dyDescent="0.3">
      <c r="A18" t="s">
        <v>77</v>
      </c>
      <c r="B18" s="7"/>
      <c r="C18" s="7">
        <f>G6*C6</f>
        <v>39246666.666666657</v>
      </c>
      <c r="D18" s="7">
        <f>G6*D6</f>
        <v>0</v>
      </c>
      <c r="F18" s="38">
        <f>Tableau5[[#This Row],[Price(IDR)]]/SUM(Tableau5[Price(IDR)])</f>
        <v>7.6363501608858755E-2</v>
      </c>
    </row>
    <row r="19" spans="1:7" x14ac:dyDescent="0.3">
      <c r="B19" s="7"/>
      <c r="C19" s="85" t="s">
        <v>25</v>
      </c>
      <c r="D19" s="86" t="s">
        <v>79</v>
      </c>
      <c r="E19" s="86" t="s">
        <v>86</v>
      </c>
    </row>
    <row r="20" spans="1:7" ht="18" x14ac:dyDescent="0.35">
      <c r="A20" s="8"/>
      <c r="B20" s="25" t="s">
        <v>94</v>
      </c>
      <c r="C20" s="58">
        <f>SUM(Tableau5[Price(IDR)])/C6</f>
        <v>189881.28745418726</v>
      </c>
      <c r="D20" s="34">
        <f>C20/G7</f>
        <v>10.844162618742848</v>
      </c>
      <c r="E20" s="60">
        <f>C20/G2</f>
        <v>10.548960414121515</v>
      </c>
    </row>
    <row r="21" spans="1:7" ht="18" x14ac:dyDescent="0.35">
      <c r="A21" s="8"/>
      <c r="B21" s="25"/>
      <c r="C21" s="58"/>
      <c r="D21" s="34"/>
      <c r="E21" s="60"/>
    </row>
    <row r="22" spans="1:7" x14ac:dyDescent="0.3">
      <c r="B22" s="7"/>
      <c r="C22" s="7"/>
    </row>
    <row r="23" spans="1:7" x14ac:dyDescent="0.3">
      <c r="B23" s="47" t="s">
        <v>88</v>
      </c>
      <c r="C23" s="47" t="s">
        <v>87</v>
      </c>
      <c r="D23" s="10" t="s">
        <v>135</v>
      </c>
      <c r="E23" s="10" t="s">
        <v>138</v>
      </c>
      <c r="F23" s="10" t="s">
        <v>158</v>
      </c>
      <c r="G23" s="10" t="s">
        <v>157</v>
      </c>
    </row>
    <row r="24" spans="1:7" x14ac:dyDescent="0.3">
      <c r="A24" s="145" t="s">
        <v>0</v>
      </c>
      <c r="B24" s="48">
        <f>$K$3</f>
        <v>69.900000000000006</v>
      </c>
      <c r="C24" s="49">
        <f>$K$2</f>
        <v>40</v>
      </c>
      <c r="D24" s="108">
        <v>100</v>
      </c>
      <c r="E24" s="109">
        <f>(100-C24)*B24/(100+D24)</f>
        <v>20.97</v>
      </c>
      <c r="F24" s="110">
        <f>E24*D24/100</f>
        <v>20.97</v>
      </c>
      <c r="G24" s="111">
        <f>F24*$C$6</f>
        <v>56758.799999999981</v>
      </c>
    </row>
    <row r="25" spans="1:7" x14ac:dyDescent="0.3">
      <c r="A25" s="145"/>
      <c r="B25" s="48">
        <f t="shared" ref="B25:B30" si="0">$K$3</f>
        <v>69.900000000000006</v>
      </c>
      <c r="C25" s="49">
        <f t="shared" ref="C25:C30" si="1">$K$2</f>
        <v>40</v>
      </c>
      <c r="D25" s="50">
        <v>150</v>
      </c>
      <c r="E25" s="51">
        <f>(100-C25)*B25/(100+D25)</f>
        <v>16.776</v>
      </c>
      <c r="F25" s="103">
        <f t="shared" ref="F25:F30" si="2">E25*D25/100</f>
        <v>25.164000000000001</v>
      </c>
      <c r="G25" s="105">
        <f t="shared" ref="G25:G30" si="3">F25*$C$6</f>
        <v>68110.559999999983</v>
      </c>
    </row>
    <row r="26" spans="1:7" x14ac:dyDescent="0.3">
      <c r="A26" s="145"/>
      <c r="B26" s="48">
        <f t="shared" si="0"/>
        <v>69.900000000000006</v>
      </c>
      <c r="C26" s="49">
        <f t="shared" si="1"/>
        <v>40</v>
      </c>
      <c r="D26" s="50">
        <v>200</v>
      </c>
      <c r="E26" s="51">
        <f t="shared" ref="E26:E30" si="4">(100-C26)*B26/(100+D26)</f>
        <v>13.98</v>
      </c>
      <c r="F26" s="103">
        <f t="shared" si="2"/>
        <v>27.96</v>
      </c>
      <c r="G26" s="105">
        <f t="shared" si="3"/>
        <v>75678.39999999998</v>
      </c>
    </row>
    <row r="27" spans="1:7" x14ac:dyDescent="0.3">
      <c r="A27" s="145"/>
      <c r="B27" s="48">
        <f t="shared" si="0"/>
        <v>69.900000000000006</v>
      </c>
      <c r="C27" s="49">
        <f t="shared" si="1"/>
        <v>40</v>
      </c>
      <c r="D27" s="50">
        <v>250</v>
      </c>
      <c r="E27" s="51">
        <f t="shared" si="4"/>
        <v>11.982857142857142</v>
      </c>
      <c r="F27" s="103">
        <f t="shared" si="2"/>
        <v>29.957142857142852</v>
      </c>
      <c r="G27" s="105">
        <f t="shared" si="3"/>
        <v>81083.999999999971</v>
      </c>
    </row>
    <row r="28" spans="1:7" x14ac:dyDescent="0.3">
      <c r="A28" s="145"/>
      <c r="B28" s="48">
        <f t="shared" si="0"/>
        <v>69.900000000000006</v>
      </c>
      <c r="C28" s="49">
        <f t="shared" si="1"/>
        <v>40</v>
      </c>
      <c r="D28" s="50">
        <v>300</v>
      </c>
      <c r="E28" s="51">
        <f t="shared" si="4"/>
        <v>10.484999999999999</v>
      </c>
      <c r="F28" s="103">
        <f t="shared" si="2"/>
        <v>31.454999999999998</v>
      </c>
      <c r="G28" s="105">
        <f t="shared" si="3"/>
        <v>85138.199999999983</v>
      </c>
    </row>
    <row r="29" spans="1:7" x14ac:dyDescent="0.3">
      <c r="A29" s="145"/>
      <c r="B29" s="48">
        <f t="shared" si="0"/>
        <v>69.900000000000006</v>
      </c>
      <c r="C29" s="49">
        <f t="shared" si="1"/>
        <v>40</v>
      </c>
      <c r="D29" s="50">
        <v>400</v>
      </c>
      <c r="E29" s="51">
        <f t="shared" si="4"/>
        <v>8.3879999999999999</v>
      </c>
      <c r="F29" s="103">
        <f t="shared" si="2"/>
        <v>33.552</v>
      </c>
      <c r="G29" s="105">
        <f t="shared" si="3"/>
        <v>90814.079999999973</v>
      </c>
    </row>
    <row r="30" spans="1:7" ht="15" customHeight="1" x14ac:dyDescent="0.3">
      <c r="A30" s="52"/>
      <c r="B30" s="48">
        <f t="shared" si="0"/>
        <v>69.900000000000006</v>
      </c>
      <c r="C30" s="49">
        <f t="shared" si="1"/>
        <v>40</v>
      </c>
      <c r="D30" s="50">
        <v>500</v>
      </c>
      <c r="E30" s="51">
        <f t="shared" si="4"/>
        <v>6.99</v>
      </c>
      <c r="F30" s="103">
        <f t="shared" si="2"/>
        <v>34.950000000000003</v>
      </c>
      <c r="G30" s="105">
        <f t="shared" si="3"/>
        <v>94597.999999999985</v>
      </c>
    </row>
    <row r="31" spans="1:7" x14ac:dyDescent="0.3">
      <c r="A31" s="146"/>
      <c r="B31" s="13"/>
      <c r="C31" s="104"/>
      <c r="D31" s="53"/>
      <c r="E31" s="42"/>
    </row>
    <row r="32" spans="1:7" x14ac:dyDescent="0.3">
      <c r="A32" s="146"/>
      <c r="B32" s="13"/>
      <c r="C32" s="104"/>
      <c r="D32" s="112" t="s">
        <v>160</v>
      </c>
      <c r="E32" s="109"/>
      <c r="F32" s="114">
        <f>F24*G2</f>
        <v>377460</v>
      </c>
      <c r="G32" s="113">
        <f>G24*G2</f>
        <v>1021658399.9999996</v>
      </c>
    </row>
    <row r="33" spans="1:5" x14ac:dyDescent="0.3">
      <c r="A33" s="146"/>
      <c r="B33" s="13"/>
      <c r="C33" s="104"/>
      <c r="D33" s="53"/>
      <c r="E33" s="42"/>
    </row>
    <row r="34" spans="1:5" x14ac:dyDescent="0.3">
      <c r="A34" s="146"/>
      <c r="B34" s="13"/>
      <c r="C34" s="104"/>
      <c r="D34" s="53"/>
      <c r="E34" s="42"/>
    </row>
    <row r="35" spans="1:5" x14ac:dyDescent="0.3">
      <c r="A35" s="146"/>
      <c r="B35" s="13"/>
      <c r="C35" s="104"/>
      <c r="D35" s="53"/>
      <c r="E35" s="42"/>
    </row>
    <row r="36" spans="1:5" x14ac:dyDescent="0.3">
      <c r="A36" s="146"/>
      <c r="B36" s="13"/>
      <c r="C36" s="104"/>
      <c r="D36" s="53"/>
      <c r="E36" s="42"/>
    </row>
    <row r="37" spans="1:5" x14ac:dyDescent="0.3">
      <c r="B37" s="7"/>
      <c r="C37" s="7"/>
    </row>
  </sheetData>
  <mergeCells count="3">
    <mergeCell ref="A24:A29"/>
    <mergeCell ref="A31:A36"/>
    <mergeCell ref="A1:A6"/>
  </mergeCells>
  <phoneticPr fontId="2" type="noConversion"/>
  <conditionalFormatting sqref="E24:E30">
    <cfRule type="cellIs" dxfId="8" priority="3" operator="lessThan">
      <formula>$E$20</formula>
    </cfRule>
  </conditionalFormatting>
  <conditionalFormatting sqref="E31:E36">
    <cfRule type="cellIs" dxfId="7" priority="4" operator="lessThan">
      <formula>$E$21</formula>
    </cfRule>
  </conditionalFormatting>
  <conditionalFormatting sqref="F9:F18">
    <cfRule type="cellIs" dxfId="6" priority="1" operator="greaterThan">
      <formula>0.15</formula>
    </cfRule>
  </conditionalFormatting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4CA5D-88EC-46A7-9C12-DBCD1A3F8336}">
  <dimension ref="A1:N41"/>
  <sheetViews>
    <sheetView showGridLines="0" zoomScaleNormal="100" workbookViewId="0">
      <selection activeCell="C19" sqref="C19"/>
    </sheetView>
  </sheetViews>
  <sheetFormatPr baseColWidth="10" defaultRowHeight="14.4" x14ac:dyDescent="0.3"/>
  <cols>
    <col min="1" max="1" width="46" customWidth="1"/>
    <col min="2" max="2" width="31.88671875" customWidth="1"/>
    <col min="3" max="3" width="17.44140625" customWidth="1"/>
    <col min="4" max="4" width="16.109375" customWidth="1"/>
    <col min="5" max="5" width="17.6640625" customWidth="1"/>
    <col min="6" max="6" width="25.33203125" bestFit="1" customWidth="1"/>
    <col min="7" max="7" width="16.33203125" customWidth="1"/>
    <col min="9" max="9" width="6.5546875" customWidth="1"/>
    <col min="10" max="10" width="20.44140625" customWidth="1"/>
    <col min="11" max="11" width="7.6640625" customWidth="1"/>
    <col min="12" max="12" width="13.5546875" bestFit="1" customWidth="1"/>
  </cols>
  <sheetData>
    <row r="1" spans="1:14" x14ac:dyDescent="0.3">
      <c r="A1" s="145" t="s">
        <v>164</v>
      </c>
      <c r="B1" s="8" t="s">
        <v>118</v>
      </c>
      <c r="C1" s="65">
        <f>SocialMedia+Location</f>
        <v>174000000</v>
      </c>
      <c r="D1" s="69">
        <v>1</v>
      </c>
      <c r="E1" s="8"/>
      <c r="J1" s="91" t="s">
        <v>154</v>
      </c>
      <c r="K1" s="91" t="s">
        <v>91</v>
      </c>
      <c r="L1" s="8"/>
      <c r="M1" s="8"/>
    </row>
    <row r="2" spans="1:14" ht="15.6" x14ac:dyDescent="0.3">
      <c r="A2" s="145"/>
      <c r="B2" s="8" t="s">
        <v>150</v>
      </c>
      <c r="C2" s="66">
        <f>SUMIF(Tableau3[Status],"1",Tableau3[Amount(IDR)])</f>
        <v>245267733</v>
      </c>
      <c r="D2" s="74">
        <v>1</v>
      </c>
      <c r="E2" s="7"/>
      <c r="F2" s="8" t="s">
        <v>67</v>
      </c>
      <c r="G2" s="83">
        <f>EUR_IDR</f>
        <v>18000</v>
      </c>
      <c r="H2" s="35">
        <v>45383</v>
      </c>
      <c r="J2" s="87" t="s">
        <v>87</v>
      </c>
      <c r="K2" s="90">
        <v>40</v>
      </c>
      <c r="L2" s="89"/>
      <c r="M2" s="46"/>
    </row>
    <row r="3" spans="1:14" ht="15.6" x14ac:dyDescent="0.3">
      <c r="A3" s="145"/>
      <c r="B3" s="8" t="s">
        <v>66</v>
      </c>
      <c r="C3" s="7">
        <f>D3*G2</f>
        <v>3645000</v>
      </c>
      <c r="D3" s="75">
        <v>202.5</v>
      </c>
      <c r="E3" s="7"/>
      <c r="F3" s="8" t="s">
        <v>113</v>
      </c>
      <c r="G3" s="64">
        <v>0.12576000000000001</v>
      </c>
      <c r="J3" s="87" t="s">
        <v>88</v>
      </c>
      <c r="K3" s="102">
        <v>13.4</v>
      </c>
      <c r="L3" s="107">
        <f>K3*G2</f>
        <v>241200</v>
      </c>
      <c r="M3" s="67"/>
    </row>
    <row r="4" spans="1:14" ht="15.6" x14ac:dyDescent="0.3">
      <c r="A4" s="145"/>
      <c r="B4" s="8" t="s">
        <v>106</v>
      </c>
      <c r="C4" s="68">
        <v>56500</v>
      </c>
      <c r="D4" s="1"/>
      <c r="E4" s="3"/>
      <c r="F4" s="8" t="s">
        <v>114</v>
      </c>
      <c r="G4" s="64">
        <v>0.54657</v>
      </c>
      <c r="J4" s="87" t="s">
        <v>151</v>
      </c>
      <c r="K4" s="88">
        <f>K3*(100-K2)/100</f>
        <v>8.0399999999999991</v>
      </c>
      <c r="L4" s="107">
        <f>K4*G2</f>
        <v>144719.99999999997</v>
      </c>
    </row>
    <row r="5" spans="1:14" x14ac:dyDescent="0.3">
      <c r="A5" s="145"/>
      <c r="B5" s="8" t="s">
        <v>102</v>
      </c>
      <c r="C5" s="55">
        <f>C4/30</f>
        <v>1883.3333333333333</v>
      </c>
      <c r="D5" s="12"/>
      <c r="E5" s="62"/>
      <c r="F5" s="8" t="s">
        <v>115</v>
      </c>
      <c r="G5" s="64">
        <v>0.44978000000000001</v>
      </c>
    </row>
    <row r="6" spans="1:14" x14ac:dyDescent="0.3">
      <c r="A6" s="145"/>
      <c r="B6" s="8" t="s">
        <v>103</v>
      </c>
      <c r="C6" s="55">
        <f>L7</f>
        <v>1789.1666666666665</v>
      </c>
      <c r="D6" s="76"/>
      <c r="E6" s="62"/>
      <c r="F6" s="8" t="s">
        <v>81</v>
      </c>
      <c r="G6" s="64">
        <v>14500</v>
      </c>
      <c r="K6" s="8" t="s">
        <v>99</v>
      </c>
      <c r="L6" s="54" t="s">
        <v>104</v>
      </c>
      <c r="M6" s="54"/>
      <c r="N6" s="8"/>
    </row>
    <row r="7" spans="1:14" x14ac:dyDescent="0.3">
      <c r="A7" s="8"/>
      <c r="B7" s="8" t="s">
        <v>116</v>
      </c>
      <c r="C7" s="55">
        <f>C5+'Rich Lotion'!C5+Serum!C5</f>
        <v>7500</v>
      </c>
      <c r="F7" s="8" t="s">
        <v>78</v>
      </c>
      <c r="G7" s="84">
        <f>CHF_IDR</f>
        <v>17510</v>
      </c>
      <c r="H7" s="35">
        <v>45383</v>
      </c>
      <c r="J7" s="8" t="s">
        <v>97</v>
      </c>
      <c r="K7" s="46">
        <v>5</v>
      </c>
      <c r="L7" s="44">
        <f>C5*(100-K7)/100</f>
        <v>1789.1666666666665</v>
      </c>
      <c r="M7" s="44"/>
      <c r="N7" s="44"/>
    </row>
    <row r="8" spans="1:14" x14ac:dyDescent="0.3">
      <c r="A8" s="8" t="s">
        <v>63</v>
      </c>
      <c r="B8" s="8" t="s">
        <v>64</v>
      </c>
      <c r="C8" s="8" t="s">
        <v>65</v>
      </c>
      <c r="D8" s="8" t="s">
        <v>90</v>
      </c>
      <c r="F8" s="10" t="s">
        <v>85</v>
      </c>
      <c r="J8" s="8" t="s">
        <v>110</v>
      </c>
      <c r="K8" s="67">
        <v>6506.54</v>
      </c>
      <c r="L8" s="42" t="s">
        <v>111</v>
      </c>
      <c r="M8" s="45">
        <f>K8*(100-K9)/100</f>
        <v>6506.54</v>
      </c>
    </row>
    <row r="9" spans="1:14" x14ac:dyDescent="0.3">
      <c r="A9" t="s">
        <v>80</v>
      </c>
      <c r="B9" s="7">
        <f>C6*G5</f>
        <v>804.73138333333327</v>
      </c>
      <c r="C9" s="7">
        <f>Tableau57[[#This Row],[Price(Euro)]]*G2</f>
        <v>14485164.899999999</v>
      </c>
      <c r="D9" s="7"/>
      <c r="E9" s="7">
        <f>E6*G5*G2</f>
        <v>0</v>
      </c>
      <c r="F9" s="38">
        <f>Tableau57[[#This Row],[Price(IDR)]]/SUM(Tableau57[Price(IDR)])</f>
        <v>5.1653068698796267E-2</v>
      </c>
      <c r="J9" s="8" t="s">
        <v>112</v>
      </c>
      <c r="K9" s="46">
        <v>0</v>
      </c>
      <c r="L9" s="4"/>
    </row>
    <row r="10" spans="1:14" x14ac:dyDescent="0.3">
      <c r="A10" t="s">
        <v>69</v>
      </c>
      <c r="B10" s="7">
        <f>C6*G3</f>
        <v>225.00559999999999</v>
      </c>
      <c r="C10" s="7">
        <f>Tableau57[[#This Row],[Price(Euro)]]*G2</f>
        <v>4050100.8</v>
      </c>
      <c r="D10" s="7"/>
      <c r="E10" s="7">
        <f>E6*G3*G2</f>
        <v>0</v>
      </c>
      <c r="F10" s="38">
        <f>Tableau57[[#This Row],[Price(IDR)]]/SUM(Tableau57[Price(IDR)])</f>
        <v>1.4442371647384541E-2</v>
      </c>
    </row>
    <row r="11" spans="1:14" x14ac:dyDescent="0.3">
      <c r="A11" t="s">
        <v>71</v>
      </c>
      <c r="B11" s="7">
        <f>C6*G4</f>
        <v>977.90482499999996</v>
      </c>
      <c r="C11" s="7">
        <f>Tableau57[[#This Row],[Price(Euro)]]*G2</f>
        <v>17602286.849999998</v>
      </c>
      <c r="D11" s="7"/>
      <c r="E11" s="7">
        <f>E6*G4*G2</f>
        <v>0</v>
      </c>
      <c r="F11" s="38">
        <f>Tableau57[[#This Row],[Price(IDR)]]/SUM(Tableau57[Price(IDR)])</f>
        <v>6.276850406576788E-2</v>
      </c>
    </row>
    <row r="12" spans="1:14" x14ac:dyDescent="0.3">
      <c r="A12" t="s">
        <v>72</v>
      </c>
      <c r="B12" s="7"/>
      <c r="C12" s="7">
        <f>C2*(C6/C7)*D2</f>
        <v>58509980.305666663</v>
      </c>
      <c r="F12" s="38">
        <f>Tableau57[[#This Row],[Price(IDR)]]/SUM(Tableau57[Price(IDR)])</f>
        <v>0.20864243197492471</v>
      </c>
    </row>
    <row r="13" spans="1:14" x14ac:dyDescent="0.3">
      <c r="A13" t="s">
        <v>120</v>
      </c>
      <c r="B13" s="7"/>
      <c r="C13" s="7">
        <f>C1*(C6/C7)*D1</f>
        <v>41508666.666666664</v>
      </c>
      <c r="F13" s="38">
        <f>Tableau57[[#This Row],[Price(IDR)]]/SUM(Tableau57[Price(IDR)])</f>
        <v>0.14801695567364703</v>
      </c>
    </row>
    <row r="14" spans="1:14" x14ac:dyDescent="0.3">
      <c r="A14" t="s">
        <v>73</v>
      </c>
      <c r="B14" s="7"/>
      <c r="C14" s="7">
        <v>0</v>
      </c>
      <c r="F14" s="38">
        <f>Tableau57[[#This Row],[Price(IDR)]]/SUM(Tableau57[Price(IDR)])</f>
        <v>0</v>
      </c>
    </row>
    <row r="15" spans="1:14" x14ac:dyDescent="0.3">
      <c r="A15" t="s">
        <v>74</v>
      </c>
      <c r="B15" s="7"/>
      <c r="C15" s="7">
        <v>0</v>
      </c>
      <c r="F15" s="38">
        <f>Tableau57[[#This Row],[Price(IDR)]]/SUM(Tableau57[Price(IDR)])</f>
        <v>0</v>
      </c>
    </row>
    <row r="16" spans="1:14" x14ac:dyDescent="0.3">
      <c r="A16" t="s">
        <v>95</v>
      </c>
      <c r="B16" s="7">
        <f>M8</f>
        <v>6506.54</v>
      </c>
      <c r="C16" s="7">
        <f>Tableau57[[#This Row],[Price(Euro)]]*G2</f>
        <v>117117720</v>
      </c>
      <c r="F16" s="38">
        <f>Tableau57[[#This Row],[Price(IDR)]]/SUM(Tableau57[Price(IDR)])</f>
        <v>0.41763346698292581</v>
      </c>
    </row>
    <row r="17" spans="1:7" x14ac:dyDescent="0.3">
      <c r="A17" t="s">
        <v>76</v>
      </c>
      <c r="B17" s="7">
        <f>D3/3</f>
        <v>67.5</v>
      </c>
      <c r="C17" s="7">
        <f>Tableau57[[#This Row],[Price(Euro)]]*$G$2</f>
        <v>1215000</v>
      </c>
      <c r="F17" s="38">
        <f>Tableau57[[#This Row],[Price(IDR)]]/SUM(Tableau57[Price(IDR)])</f>
        <v>4.3326036605242559E-3</v>
      </c>
    </row>
    <row r="18" spans="1:7" x14ac:dyDescent="0.3">
      <c r="A18" t="s">
        <v>77</v>
      </c>
      <c r="B18" s="7"/>
      <c r="C18" s="13">
        <f>G6*C6</f>
        <v>25942916.666666664</v>
      </c>
      <c r="D18" s="9"/>
      <c r="E18" s="7">
        <f>E6*G6</f>
        <v>0</v>
      </c>
      <c r="F18" s="38">
        <f>Tableau57[[#This Row],[Price(IDR)]]/SUM(Tableau57[Price(IDR)])</f>
        <v>9.2510597296029395E-2</v>
      </c>
    </row>
    <row r="19" spans="1:7" x14ac:dyDescent="0.3">
      <c r="B19" s="7"/>
      <c r="C19" s="85" t="s">
        <v>25</v>
      </c>
      <c r="D19" s="86" t="s">
        <v>79</v>
      </c>
      <c r="E19" s="86" t="s">
        <v>86</v>
      </c>
    </row>
    <row r="20" spans="1:7" ht="18" x14ac:dyDescent="0.35">
      <c r="A20" s="8"/>
      <c r="B20" s="25" t="s">
        <v>92</v>
      </c>
      <c r="C20" s="58">
        <f>SUM(Tableau57[Price(IDR)])/C6</f>
        <v>156738.79991932932</v>
      </c>
      <c r="D20" s="34">
        <f>C20/G7</f>
        <v>8.9513877738052159</v>
      </c>
      <c r="E20" s="57">
        <f>C20/G2</f>
        <v>8.7077111066294073</v>
      </c>
    </row>
    <row r="21" spans="1:7" ht="18" x14ac:dyDescent="0.35">
      <c r="A21" s="8"/>
      <c r="B21" s="25"/>
      <c r="C21" s="58"/>
      <c r="D21" s="34"/>
      <c r="E21" s="57"/>
    </row>
    <row r="22" spans="1:7" ht="18" x14ac:dyDescent="0.35">
      <c r="B22" s="25"/>
      <c r="C22" s="58"/>
      <c r="D22" s="43"/>
      <c r="E22" s="57"/>
    </row>
    <row r="23" spans="1:7" x14ac:dyDescent="0.3">
      <c r="B23" s="47" t="s">
        <v>88</v>
      </c>
      <c r="C23" s="47" t="s">
        <v>87</v>
      </c>
      <c r="D23" s="10" t="s">
        <v>135</v>
      </c>
      <c r="E23" s="10" t="s">
        <v>138</v>
      </c>
      <c r="F23" s="10" t="s">
        <v>159</v>
      </c>
      <c r="G23" s="10" t="s">
        <v>157</v>
      </c>
    </row>
    <row r="24" spans="1:7" x14ac:dyDescent="0.3">
      <c r="A24" s="145" t="s">
        <v>108</v>
      </c>
      <c r="B24" s="48">
        <f t="shared" ref="B24:B29" si="0">$K$3</f>
        <v>13.4</v>
      </c>
      <c r="C24" s="49">
        <f t="shared" ref="C24:C29" si="1">$K$2</f>
        <v>40</v>
      </c>
      <c r="D24" s="108">
        <v>20</v>
      </c>
      <c r="E24" s="109">
        <f>(100-C24)*B24/(100+D24)</f>
        <v>6.7</v>
      </c>
      <c r="F24" s="110">
        <f>E24*D24/100</f>
        <v>1.34</v>
      </c>
      <c r="G24" s="111">
        <f>F24*$C$6</f>
        <v>2397.4833333333331</v>
      </c>
    </row>
    <row r="25" spans="1:7" x14ac:dyDescent="0.3">
      <c r="A25" s="145"/>
      <c r="B25" s="48">
        <f t="shared" si="0"/>
        <v>13.4</v>
      </c>
      <c r="C25" s="49">
        <f t="shared" si="1"/>
        <v>40</v>
      </c>
      <c r="D25" s="50">
        <v>150</v>
      </c>
      <c r="E25" s="51">
        <f>(100-C25)*B25/(100+D25)</f>
        <v>3.2160000000000002</v>
      </c>
      <c r="F25" s="103">
        <f t="shared" ref="F25:F29" si="2">E25*D25/100</f>
        <v>4.8240000000000007</v>
      </c>
      <c r="G25" s="105">
        <f t="shared" ref="G25:G29" si="3">F25*$C$6</f>
        <v>8630.94</v>
      </c>
    </row>
    <row r="26" spans="1:7" x14ac:dyDescent="0.3">
      <c r="A26" s="145"/>
      <c r="B26" s="48">
        <f t="shared" si="0"/>
        <v>13.4</v>
      </c>
      <c r="C26" s="49">
        <f t="shared" si="1"/>
        <v>40</v>
      </c>
      <c r="D26" s="50">
        <v>200</v>
      </c>
      <c r="E26" s="51">
        <f t="shared" ref="E26:E29" si="4">(100-C26)*B26/(100+D26)</f>
        <v>2.68</v>
      </c>
      <c r="F26" s="103">
        <f t="shared" si="2"/>
        <v>5.36</v>
      </c>
      <c r="G26" s="105">
        <f t="shared" si="3"/>
        <v>9589.9333333333325</v>
      </c>
    </row>
    <row r="27" spans="1:7" x14ac:dyDescent="0.3">
      <c r="A27" s="145"/>
      <c r="B27" s="48">
        <f t="shared" si="0"/>
        <v>13.4</v>
      </c>
      <c r="C27" s="49">
        <f t="shared" si="1"/>
        <v>40</v>
      </c>
      <c r="D27" s="50">
        <v>250</v>
      </c>
      <c r="E27" s="51">
        <f t="shared" si="4"/>
        <v>2.2971428571428572</v>
      </c>
      <c r="F27" s="103">
        <f t="shared" si="2"/>
        <v>5.7428571428571438</v>
      </c>
      <c r="G27" s="105">
        <f t="shared" si="3"/>
        <v>10274.928571428572</v>
      </c>
    </row>
    <row r="28" spans="1:7" x14ac:dyDescent="0.3">
      <c r="A28" s="145"/>
      <c r="B28" s="48">
        <f t="shared" si="0"/>
        <v>13.4</v>
      </c>
      <c r="C28" s="49">
        <f t="shared" si="1"/>
        <v>40</v>
      </c>
      <c r="D28" s="50">
        <v>300</v>
      </c>
      <c r="E28" s="51">
        <f t="shared" si="4"/>
        <v>2.0099999999999998</v>
      </c>
      <c r="F28" s="103">
        <f t="shared" si="2"/>
        <v>6.0299999999999985</v>
      </c>
      <c r="G28" s="105">
        <f t="shared" si="3"/>
        <v>10788.674999999996</v>
      </c>
    </row>
    <row r="29" spans="1:7" x14ac:dyDescent="0.3">
      <c r="A29" s="145"/>
      <c r="B29" s="48">
        <f t="shared" si="0"/>
        <v>13.4</v>
      </c>
      <c r="C29" s="49">
        <f t="shared" si="1"/>
        <v>40</v>
      </c>
      <c r="D29" s="50">
        <v>350</v>
      </c>
      <c r="E29" s="51">
        <f t="shared" si="4"/>
        <v>1.7866666666666666</v>
      </c>
      <c r="F29" s="103">
        <f t="shared" si="2"/>
        <v>6.2533333333333339</v>
      </c>
      <c r="G29" s="105">
        <f t="shared" si="3"/>
        <v>11188.255555555555</v>
      </c>
    </row>
    <row r="30" spans="1:7" x14ac:dyDescent="0.3">
      <c r="A30" s="146"/>
      <c r="B30" s="13"/>
      <c r="C30" s="104"/>
      <c r="D30" s="53"/>
      <c r="E30" s="42"/>
    </row>
    <row r="31" spans="1:7" x14ac:dyDescent="0.3">
      <c r="A31" s="146"/>
      <c r="B31" s="13"/>
      <c r="C31" s="104"/>
      <c r="D31" s="112" t="s">
        <v>161</v>
      </c>
      <c r="E31" s="109"/>
      <c r="F31" s="114">
        <f>F24*G2</f>
        <v>24120</v>
      </c>
      <c r="G31" s="113">
        <f>G24*G2</f>
        <v>43154699.999999993</v>
      </c>
    </row>
    <row r="32" spans="1:7" x14ac:dyDescent="0.3">
      <c r="A32" s="146"/>
      <c r="B32" s="13"/>
      <c r="C32" s="104"/>
      <c r="D32" s="53"/>
      <c r="E32" s="42"/>
    </row>
    <row r="33" spans="1:5" x14ac:dyDescent="0.3">
      <c r="A33" s="146"/>
      <c r="B33" s="13"/>
      <c r="C33" s="104"/>
      <c r="D33" s="53"/>
      <c r="E33" s="42"/>
    </row>
    <row r="34" spans="1:5" x14ac:dyDescent="0.3">
      <c r="A34" s="146"/>
      <c r="B34" s="13"/>
      <c r="C34" s="104"/>
      <c r="D34" s="53"/>
      <c r="E34" s="42"/>
    </row>
    <row r="35" spans="1:5" x14ac:dyDescent="0.3">
      <c r="A35" s="146"/>
      <c r="B35" s="13"/>
      <c r="C35" s="104"/>
      <c r="D35" s="53"/>
      <c r="E35" s="42"/>
    </row>
    <row r="36" spans="1:5" x14ac:dyDescent="0.3">
      <c r="A36" s="146"/>
      <c r="B36" s="13"/>
      <c r="C36" s="44"/>
      <c r="D36" s="53"/>
      <c r="E36" s="42"/>
    </row>
    <row r="37" spans="1:5" x14ac:dyDescent="0.3">
      <c r="A37" s="146"/>
      <c r="B37" s="13"/>
      <c r="C37" s="44"/>
      <c r="D37" s="53"/>
      <c r="E37" s="42"/>
    </row>
    <row r="38" spans="1:5" x14ac:dyDescent="0.3">
      <c r="A38" s="146"/>
      <c r="B38" s="13"/>
      <c r="C38" s="44"/>
      <c r="D38" s="53"/>
      <c r="E38" s="42"/>
    </row>
    <row r="39" spans="1:5" x14ac:dyDescent="0.3">
      <c r="A39" s="146"/>
      <c r="B39" s="13"/>
      <c r="C39" s="44"/>
      <c r="D39" s="53"/>
      <c r="E39" s="42"/>
    </row>
    <row r="40" spans="1:5" x14ac:dyDescent="0.3">
      <c r="A40" s="146"/>
      <c r="B40" s="13"/>
      <c r="C40" s="44"/>
      <c r="D40" s="53"/>
      <c r="E40" s="42"/>
    </row>
    <row r="41" spans="1:5" x14ac:dyDescent="0.3">
      <c r="A41" s="146"/>
      <c r="B41" s="13"/>
      <c r="C41" s="44"/>
      <c r="D41" s="53"/>
      <c r="E41" s="42"/>
    </row>
  </sheetData>
  <mergeCells count="4">
    <mergeCell ref="A30:A35"/>
    <mergeCell ref="A24:A29"/>
    <mergeCell ref="A36:A41"/>
    <mergeCell ref="A1:A6"/>
  </mergeCells>
  <conditionalFormatting sqref="E24:E29">
    <cfRule type="cellIs" dxfId="5" priority="4" operator="lessThan">
      <formula>$E$20</formula>
    </cfRule>
  </conditionalFormatting>
  <conditionalFormatting sqref="E30:E35">
    <cfRule type="cellIs" dxfId="4" priority="3" operator="lessThan">
      <formula>$E$21</formula>
    </cfRule>
  </conditionalFormatting>
  <conditionalFormatting sqref="E36:E41">
    <cfRule type="cellIs" dxfId="3" priority="2" operator="lessThan">
      <formula>$E$22</formula>
    </cfRule>
  </conditionalFormatting>
  <conditionalFormatting sqref="F9:F18">
    <cfRule type="cellIs" dxfId="2" priority="1" operator="greaterThan">
      <formula>0.15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321E8-BB27-4538-8939-8D8D0F21AA90}">
  <dimension ref="A1:N37"/>
  <sheetViews>
    <sheetView showGridLines="0" workbookViewId="0">
      <selection activeCell="E35" sqref="E35"/>
    </sheetView>
  </sheetViews>
  <sheetFormatPr baseColWidth="10" defaultRowHeight="14.4" x14ac:dyDescent="0.3"/>
  <cols>
    <col min="1" max="1" width="44.5546875" customWidth="1"/>
    <col min="2" max="2" width="32.109375" customWidth="1"/>
    <col min="3" max="3" width="17.33203125" customWidth="1"/>
    <col min="4" max="4" width="14" bestFit="1" customWidth="1"/>
    <col min="5" max="5" width="17.5546875" customWidth="1"/>
    <col min="6" max="6" width="25.33203125" bestFit="1" customWidth="1"/>
    <col min="7" max="7" width="15.5546875" customWidth="1"/>
    <col min="10" max="10" width="19.5546875" customWidth="1"/>
    <col min="11" max="11" width="10.109375" customWidth="1"/>
    <col min="12" max="12" width="13.88671875" customWidth="1"/>
  </cols>
  <sheetData>
    <row r="1" spans="1:14" x14ac:dyDescent="0.3">
      <c r="A1" s="145" t="s">
        <v>165</v>
      </c>
      <c r="B1" s="8" t="s">
        <v>118</v>
      </c>
      <c r="C1" s="65">
        <f>SocialMedia+Location</f>
        <v>174000000</v>
      </c>
      <c r="D1" s="69">
        <v>1</v>
      </c>
      <c r="E1" s="8"/>
      <c r="J1" s="91" t="s">
        <v>155</v>
      </c>
      <c r="K1" s="99" t="s">
        <v>91</v>
      </c>
      <c r="L1" s="91"/>
    </row>
    <row r="2" spans="1:14" ht="15.6" x14ac:dyDescent="0.3">
      <c r="A2" s="145"/>
      <c r="B2" s="8" t="s">
        <v>150</v>
      </c>
      <c r="C2" s="66">
        <f>SUMIF(Tableau3[Status],"1",Tableau3[Amount(IDR)])</f>
        <v>245267733</v>
      </c>
      <c r="D2" s="74">
        <v>1</v>
      </c>
      <c r="E2" s="7"/>
      <c r="F2" s="8" t="s">
        <v>67</v>
      </c>
      <c r="G2" s="83">
        <f>EUR_IDR</f>
        <v>18000</v>
      </c>
      <c r="H2" s="35">
        <v>45383</v>
      </c>
      <c r="J2" s="87" t="s">
        <v>87</v>
      </c>
      <c r="K2" s="92">
        <v>40</v>
      </c>
      <c r="L2" s="89"/>
    </row>
    <row r="3" spans="1:14" ht="15.6" x14ac:dyDescent="0.3">
      <c r="A3" s="145"/>
      <c r="B3" s="8" t="s">
        <v>66</v>
      </c>
      <c r="C3" s="61">
        <f>D3*G2</f>
        <v>3645000</v>
      </c>
      <c r="D3" s="75">
        <v>202.5</v>
      </c>
      <c r="E3" s="7" t="s">
        <v>119</v>
      </c>
      <c r="F3" s="8" t="s">
        <v>113</v>
      </c>
      <c r="G3" s="64">
        <v>0.12576000000000001</v>
      </c>
      <c r="J3" s="87" t="s">
        <v>88</v>
      </c>
      <c r="K3" s="101">
        <v>35</v>
      </c>
      <c r="L3" s="107">
        <f>K3*G2</f>
        <v>630000</v>
      </c>
    </row>
    <row r="4" spans="1:14" ht="15.6" x14ac:dyDescent="0.3">
      <c r="A4" s="145"/>
      <c r="B4" s="8" t="s">
        <v>101</v>
      </c>
      <c r="C4" s="68">
        <v>52500</v>
      </c>
      <c r="D4" s="1"/>
      <c r="F4" s="8" t="s">
        <v>114</v>
      </c>
      <c r="G4" s="64">
        <v>0.54657</v>
      </c>
      <c r="J4" s="87" t="s">
        <v>151</v>
      </c>
      <c r="K4" s="98">
        <f>K3*(100-K2)/100</f>
        <v>21</v>
      </c>
      <c r="L4" s="107">
        <f>K4*G2</f>
        <v>378000</v>
      </c>
    </row>
    <row r="5" spans="1:14" x14ac:dyDescent="0.3">
      <c r="A5" s="145"/>
      <c r="B5" s="8" t="s">
        <v>102</v>
      </c>
      <c r="C5" s="55">
        <f>C4/30</f>
        <v>1750</v>
      </c>
      <c r="D5" s="12"/>
      <c r="F5" s="8" t="s">
        <v>115</v>
      </c>
      <c r="G5" s="64">
        <v>0.44978000000000001</v>
      </c>
    </row>
    <row r="6" spans="1:14" x14ac:dyDescent="0.3">
      <c r="A6" s="145"/>
      <c r="B6" s="8" t="s">
        <v>103</v>
      </c>
      <c r="C6" s="55">
        <f>L7</f>
        <v>1662.5</v>
      </c>
      <c r="D6" s="76"/>
      <c r="F6" s="8" t="s">
        <v>81</v>
      </c>
      <c r="G6" s="64">
        <v>14500</v>
      </c>
      <c r="K6" s="4" t="s">
        <v>99</v>
      </c>
      <c r="L6" s="54" t="s">
        <v>100</v>
      </c>
      <c r="M6" s="8"/>
      <c r="N6" s="8"/>
    </row>
    <row r="7" spans="1:14" x14ac:dyDescent="0.3">
      <c r="A7" s="8"/>
      <c r="B7" s="8" t="s">
        <v>116</v>
      </c>
      <c r="C7" s="55">
        <f>C5+Emulsion!C5+Serum!C5</f>
        <v>7500</v>
      </c>
      <c r="F7" s="8" t="s">
        <v>78</v>
      </c>
      <c r="G7" s="84">
        <f>CHF_IDR</f>
        <v>17510</v>
      </c>
      <c r="H7" s="35">
        <v>45383</v>
      </c>
      <c r="J7" s="8" t="s">
        <v>98</v>
      </c>
      <c r="K7" s="53">
        <v>5</v>
      </c>
      <c r="L7" s="56">
        <f>C5*(100-K7)/100</f>
        <v>1662.5</v>
      </c>
      <c r="M7" s="56"/>
    </row>
    <row r="8" spans="1:14" x14ac:dyDescent="0.3">
      <c r="A8" s="8" t="s">
        <v>63</v>
      </c>
      <c r="B8" s="8" t="s">
        <v>64</v>
      </c>
      <c r="C8" s="8" t="s">
        <v>65</v>
      </c>
      <c r="D8" s="8" t="s">
        <v>70</v>
      </c>
      <c r="E8" s="8"/>
      <c r="F8" s="10" t="s">
        <v>85</v>
      </c>
      <c r="J8" s="8" t="s">
        <v>109</v>
      </c>
      <c r="K8" s="46">
        <v>0</v>
      </c>
      <c r="L8" s="4"/>
      <c r="N8" s="41"/>
    </row>
    <row r="9" spans="1:14" x14ac:dyDescent="0.3">
      <c r="A9" t="s">
        <v>80</v>
      </c>
      <c r="B9" s="7">
        <f>C6*G5</f>
        <v>747.75925000000007</v>
      </c>
      <c r="C9" s="7">
        <f>Tableau578[[#This Row],[Price(Euro)]]*G2</f>
        <v>13459666.500000002</v>
      </c>
      <c r="D9" s="7"/>
      <c r="F9" s="38">
        <f>Tableau578[[#This Row],[Price(IDR)]]/SUM(Tableau578[Price(IDR)])</f>
        <v>3.9716952155691064E-2</v>
      </c>
      <c r="J9" s="8" t="s">
        <v>110</v>
      </c>
      <c r="K9" s="67">
        <v>10278.98</v>
      </c>
      <c r="L9" s="42" t="s">
        <v>111</v>
      </c>
      <c r="M9" s="42">
        <f>K9*(100-K8)/100</f>
        <v>10278.98</v>
      </c>
    </row>
    <row r="10" spans="1:14" x14ac:dyDescent="0.3">
      <c r="A10" t="s">
        <v>69</v>
      </c>
      <c r="B10" s="7">
        <f>C6*G3</f>
        <v>209.07600000000002</v>
      </c>
      <c r="C10" s="7">
        <f>Tableau578[[#This Row],[Price(Euro)]]*G2</f>
        <v>3763368.0000000005</v>
      </c>
      <c r="D10" s="7"/>
      <c r="F10" s="38">
        <f>Tableau578[[#This Row],[Price(IDR)]]/SUM(Tableau578[Price(IDR)])</f>
        <v>1.1104993336964089E-2</v>
      </c>
    </row>
    <row r="11" spans="1:14" x14ac:dyDescent="0.3">
      <c r="A11" t="s">
        <v>71</v>
      </c>
      <c r="B11" s="7">
        <f>C6*G4</f>
        <v>908.67262500000004</v>
      </c>
      <c r="C11" s="7">
        <f>Tableau578[[#This Row],[Price(Euro)]]*G2</f>
        <v>16356107.25</v>
      </c>
      <c r="D11" s="7"/>
      <c r="F11" s="38">
        <f>Tableau578[[#This Row],[Price(IDR)]]/SUM(Tableau578[Price(IDR)])</f>
        <v>4.8263805726657616E-2</v>
      </c>
    </row>
    <row r="12" spans="1:14" x14ac:dyDescent="0.3">
      <c r="A12" t="s">
        <v>72</v>
      </c>
      <c r="B12" s="7"/>
      <c r="C12" s="7">
        <f>C2*(C6/C7)*D2</f>
        <v>54367680.815000005</v>
      </c>
      <c r="D12" s="7"/>
      <c r="F12" s="38">
        <f>Tableau578[[#This Row],[Price(IDR)]]/SUM(Tableau578[Price(IDR)])</f>
        <v>0.16042883215161668</v>
      </c>
    </row>
    <row r="13" spans="1:14" x14ac:dyDescent="0.3">
      <c r="A13" t="s">
        <v>117</v>
      </c>
      <c r="B13" s="7"/>
      <c r="C13" s="7">
        <f>C1*(C5/C7)*D1</f>
        <v>40600000</v>
      </c>
      <c r="D13" s="7"/>
      <c r="F13" s="38">
        <f>Tableau578[[#This Row],[Price(IDR)]]/SUM(Tableau578[Price(IDR)])</f>
        <v>0.11980298750500668</v>
      </c>
    </row>
    <row r="14" spans="1:14" x14ac:dyDescent="0.3">
      <c r="A14" t="s">
        <v>73</v>
      </c>
      <c r="B14" s="7"/>
      <c r="C14" s="7">
        <v>0</v>
      </c>
      <c r="D14" s="7"/>
      <c r="F14" s="38">
        <f>Tableau578[[#This Row],[Price(IDR)]]/SUM(Tableau578[Price(IDR)])</f>
        <v>0</v>
      </c>
    </row>
    <row r="15" spans="1:14" x14ac:dyDescent="0.3">
      <c r="A15" t="s">
        <v>74</v>
      </c>
      <c r="B15" s="7"/>
      <c r="C15" s="7">
        <v>0</v>
      </c>
      <c r="D15" s="7"/>
      <c r="F15" s="38">
        <f>Tableau578[[#This Row],[Price(IDR)]]/SUM(Tableau578[Price(IDR)])</f>
        <v>0</v>
      </c>
    </row>
    <row r="16" spans="1:14" x14ac:dyDescent="0.3">
      <c r="A16" t="s">
        <v>96</v>
      </c>
      <c r="B16" s="7">
        <f>M9</f>
        <v>10278.98</v>
      </c>
      <c r="C16" s="7">
        <f>Tableau578[[#This Row],[Price(Euro)]]*G2</f>
        <v>185021640</v>
      </c>
      <c r="D16" s="7"/>
      <c r="E16" s="59"/>
      <c r="F16" s="38">
        <f>Tableau578[[#This Row],[Price(IDR)]]/SUM(Tableau578[Price(IDR)])</f>
        <v>0.54596416810531634</v>
      </c>
    </row>
    <row r="17" spans="1:7" x14ac:dyDescent="0.3">
      <c r="A17" t="s">
        <v>76</v>
      </c>
      <c r="B17" s="7">
        <f>D3/3</f>
        <v>67.5</v>
      </c>
      <c r="C17" s="7">
        <f>Tableau578[[#This Row],[Price(Euro)]]*$G$2</f>
        <v>1215000</v>
      </c>
      <c r="D17" s="7"/>
      <c r="F17" s="38">
        <f>Tableau578[[#This Row],[Price(IDR)]]/SUM(Tableau578[Price(IDR)])</f>
        <v>3.5852371876498304E-3</v>
      </c>
    </row>
    <row r="18" spans="1:7" x14ac:dyDescent="0.3">
      <c r="A18" t="s">
        <v>77</v>
      </c>
      <c r="B18" s="7"/>
      <c r="C18" s="7">
        <f>G6*C6</f>
        <v>24106250</v>
      </c>
      <c r="D18" s="7"/>
      <c r="E18" s="13"/>
      <c r="F18" s="38">
        <f>Tableau578[[#This Row],[Price(IDR)]]/SUM(Tableau578[Price(IDR)])</f>
        <v>7.1133023831097722E-2</v>
      </c>
    </row>
    <row r="19" spans="1:7" x14ac:dyDescent="0.3">
      <c r="B19" s="7"/>
      <c r="C19" s="85" t="s">
        <v>25</v>
      </c>
      <c r="D19" s="86" t="s">
        <v>79</v>
      </c>
      <c r="E19" s="86" t="s">
        <v>86</v>
      </c>
    </row>
    <row r="20" spans="1:7" ht="18" x14ac:dyDescent="0.35">
      <c r="A20" s="8"/>
      <c r="B20" s="25" t="s">
        <v>92</v>
      </c>
      <c r="C20" s="34">
        <f>SUM(Tableau578[Price(IDR)])/C6</f>
        <v>203843.43612932329</v>
      </c>
      <c r="D20" s="34">
        <f>C20/G7</f>
        <v>11.641544039367407</v>
      </c>
      <c r="E20" s="57">
        <f>C20/G2</f>
        <v>11.324635340517961</v>
      </c>
    </row>
    <row r="21" spans="1:7" ht="18" x14ac:dyDescent="0.35">
      <c r="A21" s="8"/>
      <c r="B21" s="25"/>
      <c r="C21" s="34"/>
      <c r="D21" s="34"/>
      <c r="E21" s="57"/>
    </row>
    <row r="22" spans="1:7" x14ac:dyDescent="0.3">
      <c r="B22" s="7"/>
      <c r="C22" s="7"/>
    </row>
    <row r="23" spans="1:7" x14ac:dyDescent="0.3">
      <c r="B23" s="47" t="s">
        <v>88</v>
      </c>
      <c r="C23" s="47" t="s">
        <v>87</v>
      </c>
      <c r="D23" s="10" t="s">
        <v>135</v>
      </c>
      <c r="E23" s="10" t="s">
        <v>138</v>
      </c>
      <c r="F23" s="10" t="s">
        <v>158</v>
      </c>
      <c r="G23" s="10" t="s">
        <v>156</v>
      </c>
    </row>
    <row r="24" spans="1:7" x14ac:dyDescent="0.3">
      <c r="A24" s="145" t="s">
        <v>93</v>
      </c>
      <c r="B24" s="48">
        <f>$K$3</f>
        <v>35</v>
      </c>
      <c r="C24" s="49">
        <f>$K$2</f>
        <v>40</v>
      </c>
      <c r="D24" s="108">
        <v>80</v>
      </c>
      <c r="E24" s="109">
        <f>(100-C24)*B24/(100+D24)</f>
        <v>11.666666666666666</v>
      </c>
      <c r="F24" s="110">
        <f>E24*D24/100</f>
        <v>9.3333333333333321</v>
      </c>
      <c r="G24" s="111">
        <f>$C$6*F24</f>
        <v>15516.666666666664</v>
      </c>
    </row>
    <row r="25" spans="1:7" x14ac:dyDescent="0.3">
      <c r="A25" s="145"/>
      <c r="B25" s="48">
        <f t="shared" ref="B25:B29" si="0">$K$3</f>
        <v>35</v>
      </c>
      <c r="C25" s="49">
        <f t="shared" ref="C25:C29" si="1">$K$2</f>
        <v>40</v>
      </c>
      <c r="D25" s="50">
        <v>150</v>
      </c>
      <c r="E25" s="51">
        <f>(100-C25)*B25/(100+D25)</f>
        <v>8.4</v>
      </c>
      <c r="F25" s="103">
        <f t="shared" ref="F25:F29" si="2">E25*D25/100</f>
        <v>12.6</v>
      </c>
      <c r="G25" s="105">
        <f t="shared" ref="G25:G29" si="3">$C$6*F25</f>
        <v>20947.5</v>
      </c>
    </row>
    <row r="26" spans="1:7" x14ac:dyDescent="0.3">
      <c r="A26" s="145"/>
      <c r="B26" s="48">
        <f t="shared" si="0"/>
        <v>35</v>
      </c>
      <c r="C26" s="49">
        <f t="shared" si="1"/>
        <v>40</v>
      </c>
      <c r="D26" s="50">
        <v>200</v>
      </c>
      <c r="E26" s="51">
        <f t="shared" ref="E26:E29" si="4">(100-C26)*B26/(100+D26)</f>
        <v>7</v>
      </c>
      <c r="F26" s="103">
        <f t="shared" si="2"/>
        <v>14</v>
      </c>
      <c r="G26" s="105">
        <f t="shared" si="3"/>
        <v>23275</v>
      </c>
    </row>
    <row r="27" spans="1:7" x14ac:dyDescent="0.3">
      <c r="A27" s="145"/>
      <c r="B27" s="48">
        <f t="shared" si="0"/>
        <v>35</v>
      </c>
      <c r="C27" s="49">
        <f t="shared" si="1"/>
        <v>40</v>
      </c>
      <c r="D27" s="50">
        <v>250</v>
      </c>
      <c r="E27" s="51">
        <f t="shared" si="4"/>
        <v>6</v>
      </c>
      <c r="F27" s="103">
        <f t="shared" si="2"/>
        <v>15</v>
      </c>
      <c r="G27" s="105">
        <f t="shared" si="3"/>
        <v>24937.5</v>
      </c>
    </row>
    <row r="28" spans="1:7" x14ac:dyDescent="0.3">
      <c r="A28" s="145"/>
      <c r="B28" s="48">
        <f t="shared" si="0"/>
        <v>35</v>
      </c>
      <c r="C28" s="49">
        <f t="shared" si="1"/>
        <v>40</v>
      </c>
      <c r="D28" s="50">
        <v>300</v>
      </c>
      <c r="E28" s="51">
        <f t="shared" si="4"/>
        <v>5.25</v>
      </c>
      <c r="F28" s="103">
        <f t="shared" si="2"/>
        <v>15.75</v>
      </c>
      <c r="G28" s="105">
        <f t="shared" si="3"/>
        <v>26184.375</v>
      </c>
    </row>
    <row r="29" spans="1:7" x14ac:dyDescent="0.3">
      <c r="A29" s="145"/>
      <c r="B29" s="48">
        <f t="shared" si="0"/>
        <v>35</v>
      </c>
      <c r="C29" s="49">
        <f t="shared" si="1"/>
        <v>40</v>
      </c>
      <c r="D29" s="50">
        <v>350</v>
      </c>
      <c r="E29" s="51">
        <f t="shared" si="4"/>
        <v>4.666666666666667</v>
      </c>
      <c r="F29" s="103">
        <f t="shared" si="2"/>
        <v>16.333333333333336</v>
      </c>
      <c r="G29" s="105">
        <f t="shared" si="3"/>
        <v>27154.166666666672</v>
      </c>
    </row>
    <row r="30" spans="1:7" x14ac:dyDescent="0.3">
      <c r="A30" s="148"/>
      <c r="B30" s="94"/>
      <c r="C30" s="96"/>
      <c r="D30" s="97"/>
      <c r="E30" s="95"/>
    </row>
    <row r="31" spans="1:7" x14ac:dyDescent="0.3">
      <c r="A31" s="146"/>
      <c r="B31" s="13"/>
      <c r="C31" s="44"/>
      <c r="D31" s="108" t="s">
        <v>162</v>
      </c>
      <c r="E31" s="109"/>
      <c r="F31" s="114">
        <f>F24*G2</f>
        <v>167999.99999999997</v>
      </c>
      <c r="G31" s="113">
        <f>G24*G2</f>
        <v>279299999.99999994</v>
      </c>
    </row>
    <row r="32" spans="1:7" x14ac:dyDescent="0.3">
      <c r="A32" s="146"/>
      <c r="B32" s="13"/>
      <c r="C32" s="44"/>
      <c r="D32" s="46"/>
      <c r="E32" s="42"/>
    </row>
    <row r="33" spans="1:5" x14ac:dyDescent="0.3">
      <c r="A33" s="146"/>
      <c r="B33" s="13"/>
      <c r="C33" s="44"/>
      <c r="D33" s="46"/>
      <c r="E33" s="42"/>
    </row>
    <row r="34" spans="1:5" x14ac:dyDescent="0.3">
      <c r="A34" s="146"/>
      <c r="B34" s="13"/>
      <c r="C34" s="44"/>
      <c r="D34" s="46"/>
      <c r="E34" s="42"/>
    </row>
    <row r="35" spans="1:5" x14ac:dyDescent="0.3">
      <c r="A35" s="146"/>
      <c r="B35" s="13"/>
      <c r="C35" s="44"/>
      <c r="D35" s="46"/>
      <c r="E35" s="42"/>
    </row>
    <row r="36" spans="1:5" x14ac:dyDescent="0.3">
      <c r="A36" s="146"/>
      <c r="B36" s="13"/>
      <c r="C36" s="44"/>
      <c r="D36" s="46"/>
      <c r="E36" s="42"/>
    </row>
    <row r="37" spans="1:5" x14ac:dyDescent="0.3">
      <c r="B37" s="7"/>
      <c r="C37" s="7"/>
    </row>
  </sheetData>
  <mergeCells count="3">
    <mergeCell ref="A24:A29"/>
    <mergeCell ref="A30:A36"/>
    <mergeCell ref="A1:A6"/>
  </mergeCells>
  <conditionalFormatting sqref="E24:E29">
    <cfRule type="cellIs" dxfId="1" priority="3" operator="lessThan">
      <formula>$D$20</formula>
    </cfRule>
  </conditionalFormatting>
  <conditionalFormatting sqref="F9:F18">
    <cfRule type="cellIs" dxfId="0" priority="1" operator="greaterThan">
      <formula>0.15</formula>
    </cfRule>
  </conditionalFormatting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D20C0-5B4F-448A-ACDF-9AA4EB718024}">
  <dimension ref="A1:F19"/>
  <sheetViews>
    <sheetView workbookViewId="0">
      <selection activeCell="K14" sqref="K14"/>
    </sheetView>
  </sheetViews>
  <sheetFormatPr baseColWidth="10" defaultRowHeight="14.4" x14ac:dyDescent="0.3"/>
  <cols>
    <col min="3" max="3" width="11.5546875" bestFit="1" customWidth="1"/>
    <col min="4" max="4" width="14.44140625" customWidth="1"/>
    <col min="6" max="6" width="22.88671875" bestFit="1" customWidth="1"/>
  </cols>
  <sheetData>
    <row r="1" spans="1:6" x14ac:dyDescent="0.3">
      <c r="E1" s="127">
        <v>0.1</v>
      </c>
      <c r="F1" s="127">
        <v>0.05</v>
      </c>
    </row>
    <row r="2" spans="1:6" x14ac:dyDescent="0.3">
      <c r="E2">
        <v>10</v>
      </c>
      <c r="F2">
        <v>5</v>
      </c>
    </row>
    <row r="3" spans="1:6" ht="15" thickBot="1" x14ac:dyDescent="0.35"/>
    <row r="4" spans="1:6" ht="15" thickBot="1" x14ac:dyDescent="0.35">
      <c r="A4" s="139"/>
      <c r="B4" s="140" t="s">
        <v>185</v>
      </c>
      <c r="C4" s="140" t="s">
        <v>186</v>
      </c>
      <c r="D4" s="140" t="s">
        <v>187</v>
      </c>
      <c r="E4" s="141"/>
      <c r="F4" s="142" t="s">
        <v>188</v>
      </c>
    </row>
    <row r="5" spans="1:6" x14ac:dyDescent="0.3">
      <c r="A5" s="135" t="s">
        <v>167</v>
      </c>
      <c r="B5" s="136">
        <v>3600</v>
      </c>
      <c r="C5" s="137">
        <v>780000</v>
      </c>
      <c r="D5" s="138">
        <f>B5*C5</f>
        <v>2808000000</v>
      </c>
      <c r="E5" s="126"/>
      <c r="F5" s="131"/>
    </row>
    <row r="6" spans="1:6" x14ac:dyDescent="0.3">
      <c r="A6" s="128" t="str">
        <f>"+10%"</f>
        <v>+10%</v>
      </c>
      <c r="B6" s="118">
        <v>3600</v>
      </c>
      <c r="C6" s="129">
        <f>C5*(1+E2/100)</f>
        <v>858000.00000000012</v>
      </c>
      <c r="D6" s="130">
        <f>B6*C6</f>
        <v>3088800000.0000005</v>
      </c>
      <c r="E6" s="126"/>
      <c r="F6" s="131"/>
    </row>
    <row r="7" spans="1:6" x14ac:dyDescent="0.3">
      <c r="A7" s="120" t="str">
        <f>"-5%"</f>
        <v>-5%</v>
      </c>
      <c r="B7" s="118">
        <v>3600</v>
      </c>
      <c r="C7" s="129">
        <f>C6*(1-F2/100)</f>
        <v>815100.00000000012</v>
      </c>
      <c r="D7" s="130">
        <f>D6*(1-F2/100)</f>
        <v>2934360000.0000005</v>
      </c>
      <c r="E7" s="143"/>
      <c r="F7" s="144">
        <f>D6-D7</f>
        <v>154440000</v>
      </c>
    </row>
    <row r="8" spans="1:6" x14ac:dyDescent="0.3">
      <c r="A8" s="132"/>
      <c r="B8" s="126"/>
      <c r="C8" s="133"/>
      <c r="D8" s="134"/>
      <c r="E8" s="126"/>
      <c r="F8" s="131"/>
    </row>
    <row r="9" spans="1:6" x14ac:dyDescent="0.3">
      <c r="A9" s="120" t="s">
        <v>168</v>
      </c>
      <c r="B9" s="118">
        <v>1830</v>
      </c>
      <c r="C9" s="129">
        <v>594000</v>
      </c>
      <c r="D9" s="130">
        <f>B9*C9</f>
        <v>1087020000</v>
      </c>
      <c r="E9" s="126"/>
      <c r="F9" s="131"/>
    </row>
    <row r="10" spans="1:6" x14ac:dyDescent="0.3">
      <c r="A10" s="128" t="str">
        <f>"+10%"</f>
        <v>+10%</v>
      </c>
      <c r="B10" s="118">
        <v>1830</v>
      </c>
      <c r="C10" s="129">
        <f>C9*(1+E2/100)</f>
        <v>653400</v>
      </c>
      <c r="D10" s="130">
        <f>B10*C10</f>
        <v>1195722000</v>
      </c>
      <c r="E10" s="126"/>
      <c r="F10" s="131"/>
    </row>
    <row r="11" spans="1:6" x14ac:dyDescent="0.3">
      <c r="A11" s="120" t="str">
        <f>"-5%"</f>
        <v>-5%</v>
      </c>
      <c r="B11" s="118">
        <v>1830</v>
      </c>
      <c r="C11" s="129">
        <f>C10*(1-F2/100)</f>
        <v>620730</v>
      </c>
      <c r="D11" s="130">
        <f>D10*(1-F2/100)</f>
        <v>1135935900</v>
      </c>
      <c r="E11" s="143"/>
      <c r="F11" s="144">
        <f>D10-D11</f>
        <v>59786100</v>
      </c>
    </row>
    <row r="12" spans="1:6" x14ac:dyDescent="0.3">
      <c r="A12" s="132"/>
      <c r="B12" s="126"/>
      <c r="C12" s="133"/>
      <c r="D12" s="134"/>
      <c r="E12" s="126"/>
      <c r="F12" s="131"/>
    </row>
    <row r="13" spans="1:6" x14ac:dyDescent="0.3">
      <c r="A13" s="120" t="s">
        <v>184</v>
      </c>
      <c r="B13" s="118">
        <v>1600</v>
      </c>
      <c r="C13" s="129">
        <v>702000</v>
      </c>
      <c r="D13" s="130">
        <f>B13*C13</f>
        <v>1123200000</v>
      </c>
      <c r="E13" s="126"/>
      <c r="F13" s="131"/>
    </row>
    <row r="14" spans="1:6" x14ac:dyDescent="0.3">
      <c r="A14" s="128" t="str">
        <f>"+10%"</f>
        <v>+10%</v>
      </c>
      <c r="B14" s="118">
        <v>1600</v>
      </c>
      <c r="C14" s="129">
        <f>C13*(1+E2/100)</f>
        <v>772200.00000000012</v>
      </c>
      <c r="D14" s="130">
        <f>B14*C14</f>
        <v>1235520000.0000002</v>
      </c>
      <c r="E14" s="126"/>
      <c r="F14" s="131"/>
    </row>
    <row r="15" spans="1:6" x14ac:dyDescent="0.3">
      <c r="A15" s="120" t="str">
        <f>"-5%"</f>
        <v>-5%</v>
      </c>
      <c r="B15" s="118">
        <v>1600</v>
      </c>
      <c r="C15" s="129">
        <f>C14*(1-F2/100)</f>
        <v>733590.00000000012</v>
      </c>
      <c r="D15" s="130">
        <f>D14*(1-F2/100)</f>
        <v>1173744000.0000002</v>
      </c>
      <c r="E15" s="143"/>
      <c r="F15" s="144">
        <f>D14-D15</f>
        <v>61776000</v>
      </c>
    </row>
    <row r="16" spans="1:6" x14ac:dyDescent="0.3">
      <c r="B16" s="126"/>
      <c r="C16" s="126"/>
      <c r="D16" s="126"/>
      <c r="E16" s="126"/>
      <c r="F16" s="126"/>
    </row>
    <row r="17" spans="2:6" x14ac:dyDescent="0.3">
      <c r="B17" s="126"/>
      <c r="C17" s="126"/>
      <c r="D17" s="126"/>
      <c r="E17" s="126"/>
      <c r="F17" s="126"/>
    </row>
    <row r="18" spans="2:6" x14ac:dyDescent="0.3">
      <c r="B18" s="126"/>
      <c r="C18" s="126"/>
      <c r="D18" s="126"/>
      <c r="E18" s="126"/>
      <c r="F18" s="126"/>
    </row>
    <row r="19" spans="2:6" x14ac:dyDescent="0.3">
      <c r="B19" s="126"/>
      <c r="C19" s="126"/>
      <c r="D19" s="126"/>
      <c r="E19" s="126"/>
      <c r="F19" s="12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0ACFD-67F8-49B6-AE55-8E760339334A}">
  <dimension ref="A1:F8"/>
  <sheetViews>
    <sheetView workbookViewId="0">
      <selection activeCell="D9" sqref="D9"/>
    </sheetView>
  </sheetViews>
  <sheetFormatPr baseColWidth="10" defaultRowHeight="14.4" x14ac:dyDescent="0.3"/>
  <cols>
    <col min="1" max="1" width="52.33203125" bestFit="1" customWidth="1"/>
    <col min="2" max="2" width="7.6640625" customWidth="1"/>
    <col min="3" max="3" width="14.6640625" customWidth="1"/>
    <col min="5" max="5" width="12.5546875" bestFit="1" customWidth="1"/>
    <col min="6" max="6" width="10.5546875" bestFit="1" customWidth="1"/>
  </cols>
  <sheetData>
    <row r="1" spans="1:6" x14ac:dyDescent="0.3">
      <c r="A1" t="s">
        <v>142</v>
      </c>
      <c r="B1" t="s">
        <v>123</v>
      </c>
      <c r="C1" t="s">
        <v>124</v>
      </c>
    </row>
    <row r="2" spans="1:6" x14ac:dyDescent="0.3">
      <c r="A2" t="s">
        <v>125</v>
      </c>
      <c r="B2" t="s">
        <v>139</v>
      </c>
      <c r="C2" s="63">
        <v>90000000</v>
      </c>
    </row>
    <row r="3" spans="1:6" x14ac:dyDescent="0.3">
      <c r="A3" t="s">
        <v>126</v>
      </c>
      <c r="B3" t="s">
        <v>143</v>
      </c>
      <c r="C3" s="73">
        <v>50000000</v>
      </c>
    </row>
    <row r="4" spans="1:6" x14ac:dyDescent="0.3">
      <c r="A4" t="s">
        <v>122</v>
      </c>
      <c r="C4" s="73">
        <v>3500000</v>
      </c>
      <c r="F4" s="8"/>
    </row>
    <row r="5" spans="1:6" x14ac:dyDescent="0.3">
      <c r="A5" t="s">
        <v>140</v>
      </c>
      <c r="B5" t="s">
        <v>141</v>
      </c>
      <c r="C5" s="63">
        <v>84000000</v>
      </c>
      <c r="F5" s="54"/>
    </row>
    <row r="6" spans="1:6" x14ac:dyDescent="0.3">
      <c r="A6" t="s">
        <v>127</v>
      </c>
      <c r="C6" s="73">
        <v>2500000</v>
      </c>
      <c r="E6" s="8" t="s">
        <v>136</v>
      </c>
      <c r="F6" s="8" t="s">
        <v>137</v>
      </c>
    </row>
    <row r="7" spans="1:6" ht="15.6" x14ac:dyDescent="0.3">
      <c r="A7" t="s">
        <v>128</v>
      </c>
      <c r="B7" t="s">
        <v>143</v>
      </c>
      <c r="C7" s="73">
        <v>2370000</v>
      </c>
      <c r="E7" s="72">
        <f>SUM(Tableau2[Amount(IDR)])</f>
        <v>232370000</v>
      </c>
      <c r="F7" s="70">
        <f>E7/EUR_IDR</f>
        <v>12909.444444444445</v>
      </c>
    </row>
    <row r="8" spans="1:6" x14ac:dyDescent="0.3">
      <c r="C8" s="63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ECDF0-E935-4BB8-86D0-48F678EC1682}">
  <dimension ref="A1:G9"/>
  <sheetViews>
    <sheetView workbookViewId="0">
      <selection activeCell="D31" sqref="D31"/>
    </sheetView>
  </sheetViews>
  <sheetFormatPr baseColWidth="10" defaultRowHeight="14.4" x14ac:dyDescent="0.3"/>
  <cols>
    <col min="1" max="1" width="42.6640625" bestFit="1" customWidth="1"/>
    <col min="2" max="2" width="8.6640625" bestFit="1" customWidth="1"/>
    <col min="3" max="3" width="14.6640625" customWidth="1"/>
    <col min="4" max="4" width="19.33203125" bestFit="1" customWidth="1"/>
    <col min="5" max="5" width="8.88671875" customWidth="1"/>
    <col min="6" max="6" width="12.5546875" bestFit="1" customWidth="1"/>
    <col min="7" max="7" width="11.6640625" bestFit="1" customWidth="1"/>
  </cols>
  <sheetData>
    <row r="1" spans="1:7" x14ac:dyDescent="0.3">
      <c r="A1" t="s">
        <v>123</v>
      </c>
      <c r="B1" t="s">
        <v>20</v>
      </c>
      <c r="C1" t="s">
        <v>124</v>
      </c>
      <c r="D1" t="s">
        <v>144</v>
      </c>
    </row>
    <row r="2" spans="1:7" x14ac:dyDescent="0.3">
      <c r="A2" t="s">
        <v>129</v>
      </c>
      <c r="B2">
        <v>1</v>
      </c>
      <c r="C2" s="63">
        <v>67556000</v>
      </c>
      <c r="D2" s="79">
        <f>Tableau3[[#This Row],[Amount(IDR)]]/$F$7</f>
        <v>0.27543778047640699</v>
      </c>
      <c r="E2" s="78"/>
    </row>
    <row r="3" spans="1:7" x14ac:dyDescent="0.3">
      <c r="A3" t="s">
        <v>130</v>
      </c>
      <c r="B3">
        <v>1</v>
      </c>
      <c r="C3" s="63">
        <v>6047296</v>
      </c>
      <c r="D3" s="79">
        <f>Tableau3[[#This Row],[Amount(IDR)]]/$F$7</f>
        <v>2.4655897153825775E-2</v>
      </c>
      <c r="E3" s="78"/>
    </row>
    <row r="4" spans="1:7" ht="15.6" x14ac:dyDescent="0.3">
      <c r="A4" t="s">
        <v>131</v>
      </c>
      <c r="B4">
        <v>1</v>
      </c>
      <c r="C4" s="63">
        <v>18000000</v>
      </c>
      <c r="D4" s="79">
        <f>Tableau3[[#This Row],[Amount(IDR)]]/$F$7</f>
        <v>7.3389188948062734E-2</v>
      </c>
      <c r="E4" s="78"/>
      <c r="F4" s="82" t="s">
        <v>145</v>
      </c>
      <c r="G4" s="81">
        <f>C7/EUR_IDR</f>
        <v>6703.3121111111113</v>
      </c>
    </row>
    <row r="5" spans="1:7" x14ac:dyDescent="0.3">
      <c r="A5" t="s">
        <v>132</v>
      </c>
      <c r="B5">
        <v>1</v>
      </c>
      <c r="C5" s="63">
        <v>9831899</v>
      </c>
      <c r="D5" s="79">
        <f>Tableau3[[#This Row],[Amount(IDR)]]/$F$7</f>
        <v>4.0086394079403835E-2</v>
      </c>
      <c r="E5" s="78"/>
      <c r="G5" s="54"/>
    </row>
    <row r="6" spans="1:7" x14ac:dyDescent="0.3">
      <c r="A6" t="s">
        <v>133</v>
      </c>
      <c r="B6">
        <v>1</v>
      </c>
      <c r="C6" s="63">
        <v>9528920</v>
      </c>
      <c r="D6" s="79">
        <f>Tableau3[[#This Row],[Amount(IDR)]]/$F$7</f>
        <v>3.8851095019498551E-2</v>
      </c>
      <c r="E6" s="78"/>
      <c r="F6" s="8" t="s">
        <v>136</v>
      </c>
      <c r="G6" s="8" t="s">
        <v>137</v>
      </c>
    </row>
    <row r="7" spans="1:7" ht="15.6" x14ac:dyDescent="0.3">
      <c r="A7" t="s">
        <v>134</v>
      </c>
      <c r="B7">
        <v>1</v>
      </c>
      <c r="C7" s="63">
        <v>120659618</v>
      </c>
      <c r="D7" s="79">
        <f>Tableau3[[#This Row],[Amount(IDR)]]/$F$7</f>
        <v>0.49195063910017056</v>
      </c>
      <c r="E7" s="78"/>
      <c r="F7" s="71">
        <f>SUM(Tableau3[Amount(IDR)])</f>
        <v>245267733</v>
      </c>
      <c r="G7" s="80">
        <f>F7/EUR_IDR</f>
        <v>13625.985166666667</v>
      </c>
    </row>
    <row r="8" spans="1:7" x14ac:dyDescent="0.3">
      <c r="A8" t="s">
        <v>5</v>
      </c>
      <c r="B8">
        <v>1</v>
      </c>
      <c r="C8" s="63">
        <f>358*EUR_IDR</f>
        <v>6444000</v>
      </c>
      <c r="D8" s="79">
        <f>Tableau3[[#This Row],[Amount(IDR)]]/$F$7</f>
        <v>2.6273329643406458E-2</v>
      </c>
    </row>
    <row r="9" spans="1:7" x14ac:dyDescent="0.3">
      <c r="A9" t="s">
        <v>149</v>
      </c>
      <c r="B9">
        <v>1</v>
      </c>
      <c r="C9" s="63">
        <f>400*EUR_IDR</f>
        <v>7200000</v>
      </c>
      <c r="D9" s="79">
        <f>Tableau3[[#This Row],[Amount(IDR)]]/$F$7</f>
        <v>2.9355675579225093E-2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8E705-BED2-4587-8B77-699CFDA1ADCA}">
  <dimension ref="A1:D4"/>
  <sheetViews>
    <sheetView workbookViewId="0">
      <selection activeCell="D4" sqref="D4"/>
    </sheetView>
  </sheetViews>
  <sheetFormatPr baseColWidth="10" defaultRowHeight="14.4" x14ac:dyDescent="0.3"/>
  <cols>
    <col min="2" max="2" width="8.44140625" customWidth="1"/>
    <col min="3" max="3" width="8.33203125" customWidth="1"/>
  </cols>
  <sheetData>
    <row r="1" spans="1:4" x14ac:dyDescent="0.3">
      <c r="A1" t="s">
        <v>146</v>
      </c>
      <c r="B1" t="s">
        <v>79</v>
      </c>
      <c r="C1" t="s">
        <v>147</v>
      </c>
      <c r="D1" t="s">
        <v>25</v>
      </c>
    </row>
    <row r="2" spans="1:4" x14ac:dyDescent="0.3">
      <c r="A2" t="s">
        <v>79</v>
      </c>
      <c r="B2">
        <v>1</v>
      </c>
      <c r="D2">
        <v>17510</v>
      </c>
    </row>
    <row r="3" spans="1:4" x14ac:dyDescent="0.3">
      <c r="A3" t="s">
        <v>147</v>
      </c>
      <c r="C3">
        <v>1</v>
      </c>
      <c r="D3">
        <v>18000</v>
      </c>
    </row>
    <row r="4" spans="1:4" x14ac:dyDescent="0.3">
      <c r="A4" t="s">
        <v>25</v>
      </c>
      <c r="D4">
        <v>1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8AC45-6A43-4D51-8719-865AD6177728}">
  <dimension ref="A2:P19"/>
  <sheetViews>
    <sheetView showGridLines="0" topLeftCell="A5" workbookViewId="0">
      <selection activeCell="H20" sqref="H20"/>
    </sheetView>
  </sheetViews>
  <sheetFormatPr baseColWidth="10" defaultRowHeight="14.4" x14ac:dyDescent="0.3"/>
  <cols>
    <col min="1" max="1" width="10.6640625" bestFit="1" customWidth="1"/>
    <col min="2" max="2" width="7.5546875" bestFit="1" customWidth="1"/>
    <col min="3" max="3" width="13.6640625" bestFit="1" customWidth="1"/>
    <col min="4" max="4" width="15.5546875" customWidth="1"/>
    <col min="5" max="5" width="12.88671875" customWidth="1"/>
    <col min="6" max="6" width="9.88671875" bestFit="1" customWidth="1"/>
    <col min="7" max="7" width="11.5546875" customWidth="1"/>
    <col min="8" max="8" width="14.33203125" customWidth="1"/>
    <col min="9" max="9" width="13.44140625" customWidth="1"/>
    <col min="10" max="10" width="7.5546875" bestFit="1" customWidth="1"/>
    <col min="11" max="11" width="13" customWidth="1"/>
    <col min="12" max="12" width="11.88671875" bestFit="1" customWidth="1"/>
    <col min="13" max="13" width="15" customWidth="1"/>
    <col min="14" max="14" width="13.44140625" customWidth="1"/>
    <col min="15" max="15" width="10.88671875" bestFit="1" customWidth="1"/>
    <col min="16" max="16" width="12.44140625" customWidth="1"/>
  </cols>
  <sheetData>
    <row r="2" spans="1:16" ht="43.2" x14ac:dyDescent="0.3">
      <c r="A2" s="115" t="s">
        <v>166</v>
      </c>
      <c r="B2" s="115" t="s">
        <v>170</v>
      </c>
      <c r="C2" s="119" t="s">
        <v>182</v>
      </c>
      <c r="D2" s="115" t="s">
        <v>171</v>
      </c>
      <c r="E2" s="115" t="s">
        <v>174</v>
      </c>
      <c r="F2" s="119" t="s">
        <v>197</v>
      </c>
      <c r="G2" s="119" t="s">
        <v>183</v>
      </c>
      <c r="H2" s="115" t="s">
        <v>173</v>
      </c>
      <c r="I2" s="116" t="s">
        <v>178</v>
      </c>
      <c r="J2" s="115" t="s">
        <v>172</v>
      </c>
      <c r="K2" s="119" t="s">
        <v>179</v>
      </c>
      <c r="L2" s="119" t="s">
        <v>180</v>
      </c>
      <c r="M2" s="115" t="s">
        <v>175</v>
      </c>
      <c r="N2" s="119" t="s">
        <v>176</v>
      </c>
      <c r="O2" s="119" t="s">
        <v>177</v>
      </c>
      <c r="P2" s="119" t="s">
        <v>181</v>
      </c>
    </row>
    <row r="3" spans="1:16" x14ac:dyDescent="0.3">
      <c r="A3" s="120" t="s">
        <v>167</v>
      </c>
      <c r="B3" s="118">
        <f>Serum!C20</f>
        <v>189881.28745418726</v>
      </c>
      <c r="C3" s="118">
        <f>B3*3</f>
        <v>569643.86236256175</v>
      </c>
      <c r="D3" s="118">
        <f>B3+C3</f>
        <v>759525.14981674904</v>
      </c>
      <c r="E3" s="118">
        <f>I3-H3</f>
        <v>643636.36363636353</v>
      </c>
      <c r="F3" s="118">
        <f>E3-B3</f>
        <v>453755.07618217624</v>
      </c>
      <c r="G3" s="125">
        <f>F3/B3</f>
        <v>2.3896776889700306</v>
      </c>
      <c r="H3" s="118">
        <f>I3*0.4</f>
        <v>429090.90909090912</v>
      </c>
      <c r="I3" s="118">
        <f>K3/1.1</f>
        <v>1072727.2727272727</v>
      </c>
      <c r="J3" s="118">
        <f>K3-I3</f>
        <v>107272.72727272729</v>
      </c>
      <c r="K3" s="118">
        <v>1180000</v>
      </c>
      <c r="L3" s="122">
        <f>K3/18000</f>
        <v>65.555555555555557</v>
      </c>
      <c r="M3" s="117">
        <v>2707</v>
      </c>
      <c r="N3" s="118">
        <f>M3*F3</f>
        <v>1228314991.2251511</v>
      </c>
      <c r="O3" s="118">
        <f>N3/18000</f>
        <v>68239.721734730614</v>
      </c>
      <c r="P3" s="122">
        <f>O3/M3</f>
        <v>25.208615343454234</v>
      </c>
    </row>
    <row r="4" spans="1:16" x14ac:dyDescent="0.3">
      <c r="A4" s="120" t="s">
        <v>168</v>
      </c>
      <c r="B4" s="118">
        <f>Emulsion!C20</f>
        <v>156738.79991932932</v>
      </c>
      <c r="C4" s="118">
        <f t="shared" ref="C4:C5" si="0">B4*3</f>
        <v>470216.39975798794</v>
      </c>
      <c r="D4" s="118">
        <f t="shared" ref="D4:D5" si="1">B4+C4</f>
        <v>626955.19967731729</v>
      </c>
      <c r="E4" s="118">
        <f t="shared" ref="E4:E5" si="2">I4-H4</f>
        <v>518181.81818181812</v>
      </c>
      <c r="F4" s="118">
        <f t="shared" ref="F4:F5" si="3">E4-B4</f>
        <v>361443.01826248877</v>
      </c>
      <c r="G4" s="125">
        <f t="shared" ref="G4:G5" si="4">F4/B4</f>
        <v>2.3060213453753446</v>
      </c>
      <c r="H4" s="118">
        <f t="shared" ref="H4:H5" si="5">I4*0.4</f>
        <v>345454.54545454541</v>
      </c>
      <c r="I4" s="118">
        <f t="shared" ref="I4:I5" si="6">K4/1.1</f>
        <v>863636.36363636353</v>
      </c>
      <c r="J4" s="118">
        <f t="shared" ref="J4:J5" si="7">K4-I4</f>
        <v>86363.636363636469</v>
      </c>
      <c r="K4" s="118">
        <v>950000</v>
      </c>
      <c r="L4" s="122">
        <f t="shared" ref="L4:L5" si="8">K4/18000</f>
        <v>52.777777777777779</v>
      </c>
      <c r="M4" s="117">
        <v>1789</v>
      </c>
      <c r="N4" s="118">
        <f t="shared" ref="N4:N5" si="9">M4*F4</f>
        <v>646621559.67159235</v>
      </c>
      <c r="O4" s="118">
        <f t="shared" ref="O4:O5" si="10">N4/18000</f>
        <v>35923.419981755134</v>
      </c>
      <c r="P4" s="122">
        <f t="shared" ref="P4:P5" si="11">O4/M4</f>
        <v>20.080167681249378</v>
      </c>
    </row>
    <row r="5" spans="1:16" x14ac:dyDescent="0.3">
      <c r="A5" s="120" t="s">
        <v>169</v>
      </c>
      <c r="B5" s="118">
        <f>'Rich Lotion'!C20</f>
        <v>203843.43612932329</v>
      </c>
      <c r="C5" s="118">
        <f t="shared" si="0"/>
        <v>611530.30838796985</v>
      </c>
      <c r="D5" s="118">
        <f t="shared" si="1"/>
        <v>815373.74451729318</v>
      </c>
      <c r="E5" s="118">
        <f t="shared" si="2"/>
        <v>458181.81818181812</v>
      </c>
      <c r="F5" s="118">
        <f t="shared" si="3"/>
        <v>254338.38205249482</v>
      </c>
      <c r="G5" s="125">
        <f t="shared" si="4"/>
        <v>1.2477143580484793</v>
      </c>
      <c r="H5" s="118">
        <f t="shared" si="5"/>
        <v>305454.54545454541</v>
      </c>
      <c r="I5" s="118">
        <f t="shared" si="6"/>
        <v>763636.36363636353</v>
      </c>
      <c r="J5" s="118">
        <f t="shared" si="7"/>
        <v>76363.636363636469</v>
      </c>
      <c r="K5" s="118">
        <v>840000</v>
      </c>
      <c r="L5" s="122">
        <f t="shared" si="8"/>
        <v>46.666666666666664</v>
      </c>
      <c r="M5" s="117">
        <v>1663</v>
      </c>
      <c r="N5" s="118">
        <f t="shared" si="9"/>
        <v>422964729.3532989</v>
      </c>
      <c r="O5" s="118">
        <f t="shared" si="10"/>
        <v>23498.040519627717</v>
      </c>
      <c r="P5" s="122">
        <f t="shared" si="11"/>
        <v>14.12991011402749</v>
      </c>
    </row>
    <row r="6" spans="1:16" x14ac:dyDescent="0.3">
      <c r="M6" s="8">
        <f>SUM(M3:M5)</f>
        <v>6159</v>
      </c>
      <c r="N6" s="121">
        <f>SUM(N3:N5)</f>
        <v>2297901280.250042</v>
      </c>
      <c r="O6" s="121">
        <f>SUM(O3:O5)</f>
        <v>127661.18223611347</v>
      </c>
    </row>
    <row r="8" spans="1:16" x14ac:dyDescent="0.3">
      <c r="A8" s="155"/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23"/>
      <c r="O8" s="124"/>
    </row>
    <row r="9" spans="1:16" ht="43.2" x14ac:dyDescent="0.3">
      <c r="A9" s="117"/>
      <c r="B9" s="117" t="s">
        <v>170</v>
      </c>
      <c r="C9" s="119" t="s">
        <v>189</v>
      </c>
      <c r="D9" s="119" t="s">
        <v>193</v>
      </c>
      <c r="E9" s="119" t="s">
        <v>194</v>
      </c>
      <c r="F9" s="119" t="s">
        <v>201</v>
      </c>
      <c r="G9" s="119" t="s">
        <v>183</v>
      </c>
      <c r="H9" s="119" t="s">
        <v>195</v>
      </c>
      <c r="I9" s="153" t="s">
        <v>178</v>
      </c>
      <c r="J9" s="115" t="s">
        <v>172</v>
      </c>
      <c r="K9" s="119" t="s">
        <v>196</v>
      </c>
      <c r="L9" s="119" t="s">
        <v>203</v>
      </c>
      <c r="M9" s="115" t="s">
        <v>200</v>
      </c>
      <c r="N9" s="119" t="s">
        <v>202</v>
      </c>
      <c r="O9" s="157"/>
    </row>
    <row r="10" spans="1:16" x14ac:dyDescent="0.3">
      <c r="A10" s="149" t="s">
        <v>167</v>
      </c>
      <c r="B10" s="151">
        <v>189881</v>
      </c>
      <c r="C10" s="118">
        <f>B10*3</f>
        <v>569643</v>
      </c>
      <c r="D10" s="118">
        <f>B10+C10</f>
        <v>759524</v>
      </c>
      <c r="E10" s="118">
        <f>I10-H10</f>
        <v>425454.54545454541</v>
      </c>
      <c r="F10" s="118">
        <f>E10-B10</f>
        <v>235573.54545454541</v>
      </c>
      <c r="G10" s="152">
        <f>F10/B10</f>
        <v>1.2406377965912621</v>
      </c>
      <c r="H10" s="118">
        <f>I10*0.4</f>
        <v>283636.36363636365</v>
      </c>
      <c r="I10" s="118">
        <f>K10/1.1</f>
        <v>709090.90909090906</v>
      </c>
      <c r="J10" s="118">
        <f>K10-I10</f>
        <v>70909.090909090941</v>
      </c>
      <c r="K10" s="129">
        <v>780000</v>
      </c>
      <c r="L10" s="117">
        <v>2707</v>
      </c>
      <c r="M10" s="118">
        <f>L10*F10</f>
        <v>637697587.54545438</v>
      </c>
      <c r="N10" s="150">
        <f>B10*L10</f>
        <v>514007867</v>
      </c>
      <c r="O10" s="158"/>
    </row>
    <row r="11" spans="1:16" x14ac:dyDescent="0.3">
      <c r="A11" s="149" t="s">
        <v>168</v>
      </c>
      <c r="B11" s="151">
        <v>156739</v>
      </c>
      <c r="C11" s="118">
        <f t="shared" ref="C11:C12" si="12">B11*3</f>
        <v>470217</v>
      </c>
      <c r="D11" s="118">
        <f t="shared" ref="D11:D12" si="13">B11+C11</f>
        <v>626956</v>
      </c>
      <c r="E11" s="118">
        <f t="shared" ref="E11:E12" si="14">I11-H11</f>
        <v>324000</v>
      </c>
      <c r="F11" s="118">
        <f t="shared" ref="F11:F12" si="15">E11-B11</f>
        <v>167261</v>
      </c>
      <c r="G11" s="152">
        <f t="shared" ref="G11:G12" si="16">F11/B11</f>
        <v>1.067130707737066</v>
      </c>
      <c r="H11" s="118">
        <f t="shared" ref="H11:H12" si="17">I11*0.4</f>
        <v>216000</v>
      </c>
      <c r="I11" s="118">
        <f t="shared" ref="I11:I12" si="18">K11/1.1</f>
        <v>540000</v>
      </c>
      <c r="J11" s="118">
        <f t="shared" ref="J11:J12" si="19">K11-I11</f>
        <v>54000</v>
      </c>
      <c r="K11" s="129">
        <v>594000</v>
      </c>
      <c r="L11" s="117">
        <v>1789</v>
      </c>
      <c r="M11" s="118">
        <f t="shared" ref="M11:M12" si="20">L11*F11</f>
        <v>299229929</v>
      </c>
      <c r="N11" s="150">
        <f t="shared" ref="N11:N12" si="21">B11*L11</f>
        <v>280406071</v>
      </c>
      <c r="O11" s="158"/>
    </row>
    <row r="12" spans="1:16" x14ac:dyDescent="0.3">
      <c r="A12" s="149" t="s">
        <v>169</v>
      </c>
      <c r="B12" s="151">
        <v>203843</v>
      </c>
      <c r="C12" s="118">
        <f t="shared" si="12"/>
        <v>611529</v>
      </c>
      <c r="D12" s="118">
        <f t="shared" si="13"/>
        <v>815372</v>
      </c>
      <c r="E12" s="118">
        <f t="shared" si="14"/>
        <v>382909.09090909082</v>
      </c>
      <c r="F12" s="118">
        <f t="shared" si="15"/>
        <v>179066.09090909082</v>
      </c>
      <c r="G12" s="152">
        <f t="shared" si="16"/>
        <v>0.87845101823016158</v>
      </c>
      <c r="H12" s="118">
        <f t="shared" si="17"/>
        <v>255272.72727272726</v>
      </c>
      <c r="I12" s="118">
        <f t="shared" si="18"/>
        <v>638181.81818181812</v>
      </c>
      <c r="J12" s="118">
        <f t="shared" si="19"/>
        <v>63818.181818181882</v>
      </c>
      <c r="K12" s="129">
        <v>702000</v>
      </c>
      <c r="L12" s="117">
        <v>1663</v>
      </c>
      <c r="M12" s="118">
        <f t="shared" si="20"/>
        <v>297786909.18181807</v>
      </c>
      <c r="N12" s="150">
        <f t="shared" si="21"/>
        <v>338990909</v>
      </c>
      <c r="O12" s="158"/>
    </row>
    <row r="13" spans="1:16" x14ac:dyDescent="0.3">
      <c r="M13" s="121">
        <f>SUM(M10:M12)</f>
        <v>1234714425.7272725</v>
      </c>
      <c r="N13" s="156">
        <f>SUM(N10:N12)</f>
        <v>1133404847</v>
      </c>
    </row>
    <row r="14" spans="1:16" ht="48.6" customHeight="1" x14ac:dyDescent="0.3">
      <c r="N14" s="159"/>
    </row>
    <row r="15" spans="1:16" ht="44.4" customHeight="1" x14ac:dyDescent="0.3">
      <c r="B15" s="115" t="s">
        <v>170</v>
      </c>
      <c r="C15" s="119" t="s">
        <v>190</v>
      </c>
      <c r="D15" s="119" t="s">
        <v>191</v>
      </c>
      <c r="E15" s="115" t="s">
        <v>192</v>
      </c>
      <c r="F15" s="119" t="s">
        <v>199</v>
      </c>
      <c r="G15" s="119" t="s">
        <v>203</v>
      </c>
      <c r="H15" s="154" t="s">
        <v>198</v>
      </c>
      <c r="I15" s="154" t="s">
        <v>202</v>
      </c>
      <c r="N15" s="159"/>
    </row>
    <row r="16" spans="1:16" x14ac:dyDescent="0.3">
      <c r="A16" s="149" t="s">
        <v>167</v>
      </c>
      <c r="B16" s="151">
        <v>189881</v>
      </c>
      <c r="C16" s="118">
        <f>780000/1.1</f>
        <v>709090.90909090906</v>
      </c>
      <c r="D16" s="129">
        <v>780000</v>
      </c>
      <c r="E16" s="152">
        <f>(C16-B16)/B16</f>
        <v>2.7343963276521035</v>
      </c>
      <c r="F16" s="118">
        <f>C16-B16</f>
        <v>519209.90909090906</v>
      </c>
      <c r="G16" s="117">
        <v>2707</v>
      </c>
      <c r="H16" s="118">
        <f>F16*G16</f>
        <v>1405501223.9090908</v>
      </c>
      <c r="I16" s="150">
        <f>B16*G16</f>
        <v>514007867</v>
      </c>
    </row>
    <row r="17" spans="1:9" x14ac:dyDescent="0.3">
      <c r="A17" s="149" t="s">
        <v>168</v>
      </c>
      <c r="B17" s="151">
        <v>156739</v>
      </c>
      <c r="C17" s="118">
        <f>594000/1.1</f>
        <v>540000</v>
      </c>
      <c r="D17" s="129">
        <v>594000</v>
      </c>
      <c r="E17" s="152">
        <f t="shared" ref="E17:E18" si="22">(C17-B17)/B17</f>
        <v>2.4452178462284433</v>
      </c>
      <c r="F17" s="118">
        <f t="shared" ref="F17:F18" si="23">C17-B17</f>
        <v>383261</v>
      </c>
      <c r="G17" s="117">
        <v>1789</v>
      </c>
      <c r="H17" s="118">
        <f t="shared" ref="H17:H18" si="24">F17*G17</f>
        <v>685653929</v>
      </c>
      <c r="I17" s="150">
        <f t="shared" ref="I17:I18" si="25">B17*G17</f>
        <v>280406071</v>
      </c>
    </row>
    <row r="18" spans="1:9" x14ac:dyDescent="0.3">
      <c r="A18" s="149" t="s">
        <v>169</v>
      </c>
      <c r="B18" s="151">
        <v>203843</v>
      </c>
      <c r="C18" s="118">
        <f>702000/1.1</f>
        <v>638181.81818181812</v>
      </c>
      <c r="D18" s="129">
        <v>702000</v>
      </c>
      <c r="E18" s="152">
        <f t="shared" si="22"/>
        <v>2.1307516970502696</v>
      </c>
      <c r="F18" s="118">
        <f t="shared" si="23"/>
        <v>434338.81818181812</v>
      </c>
      <c r="G18" s="117">
        <v>1663</v>
      </c>
      <c r="H18" s="118">
        <f t="shared" si="24"/>
        <v>722305454.63636351</v>
      </c>
      <c r="I18" s="150">
        <f t="shared" si="25"/>
        <v>338990909</v>
      </c>
    </row>
    <row r="19" spans="1:9" x14ac:dyDescent="0.3">
      <c r="H19" s="121">
        <f>SUM(H16:H18)</f>
        <v>2813460607.545454</v>
      </c>
      <c r="I19" s="156">
        <f>SUM(I16:I18)</f>
        <v>1133404847</v>
      </c>
    </row>
  </sheetData>
  <mergeCells count="1">
    <mergeCell ref="A8:M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10</vt:i4>
      </vt:variant>
      <vt:variant>
        <vt:lpstr>Plages nommées</vt:lpstr>
      </vt:variant>
      <vt:variant>
        <vt:i4>8</vt:i4>
      </vt:variant>
    </vt:vector>
  </HeadingPairs>
  <TitlesOfParts>
    <vt:vector size="18" baseType="lpstr">
      <vt:lpstr>Costs2</vt:lpstr>
      <vt:lpstr>Serum</vt:lpstr>
      <vt:lpstr>Emulsion</vt:lpstr>
      <vt:lpstr>Rich Lotion</vt:lpstr>
      <vt:lpstr>Feuil1</vt:lpstr>
      <vt:lpstr>Fix-Costs</vt:lpstr>
      <vt:lpstr>Shipping-Costs</vt:lpstr>
      <vt:lpstr>Currencies</vt:lpstr>
      <vt:lpstr>Calcul Profit</vt:lpstr>
      <vt:lpstr>Calcul 05.11.24</vt:lpstr>
      <vt:lpstr>AmountFC</vt:lpstr>
      <vt:lpstr>AmountSC</vt:lpstr>
      <vt:lpstr>CHF_IDR</vt:lpstr>
      <vt:lpstr>EUR_IDR</vt:lpstr>
      <vt:lpstr>Location</vt:lpstr>
      <vt:lpstr>SocialMedia</vt:lpstr>
      <vt:lpstr>TypeFC</vt:lpstr>
      <vt:lpstr>TypeSC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Pierre Boeschlin</dc:creator>
  <cp:keywords/>
  <dc:description/>
  <cp:lastModifiedBy>Pierre Boeschlin</cp:lastModifiedBy>
  <cp:revision/>
  <dcterms:created xsi:type="dcterms:W3CDTF">2023-08-14T12:47:03Z</dcterms:created>
  <dcterms:modified xsi:type="dcterms:W3CDTF">2024-11-07T14:38:16Z</dcterms:modified>
  <cp:category/>
  <cp:contentStatus/>
</cp:coreProperties>
</file>