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Perso\Lily\Belano medical\"/>
    </mc:Choice>
  </mc:AlternateContent>
  <xr:revisionPtr revIDLastSave="0" documentId="13_ncr:1_{CFBED771-F115-4182-9CBA-1A3B9DBC7C3C}" xr6:coauthVersionLast="47" xr6:coauthVersionMax="47" xr10:uidLastSave="{00000000-0000-0000-0000-000000000000}"/>
  <bookViews>
    <workbookView minimized="1" xWindow="432" yWindow="504" windowWidth="19116" windowHeight="10644" activeTab="2" xr2:uid="{A90EAECF-001B-4ECB-AEE4-53A0F6EFB209}"/>
  </bookViews>
  <sheets>
    <sheet name="Costs2" sheetId="5" r:id="rId1"/>
    <sheet name="Serum" sheetId="7" r:id="rId2"/>
    <sheet name="Emulsion" sheetId="10" r:id="rId3"/>
    <sheet name="Rich Lotion" sheetId="11" r:id="rId4"/>
    <sheet name="Fix-Costs" sheetId="12" r:id="rId5"/>
    <sheet name="Shipping-Costs" sheetId="13" r:id="rId6"/>
    <sheet name="Currencies" sheetId="14" r:id="rId7"/>
  </sheets>
  <definedNames>
    <definedName name="AmountFC">Tableau2[Amount(IDR)]</definedName>
    <definedName name="AmountSC">Tableau3[Amount(IDR)]</definedName>
    <definedName name="CHF_IDR">Currencies!$D$2</definedName>
    <definedName name="CostType" localSheetId="2">#REF!</definedName>
    <definedName name="CostType" localSheetId="3">#REF!</definedName>
    <definedName name="CostType">#REF!</definedName>
    <definedName name="EUR_IDR">Currencies!$D$3</definedName>
    <definedName name="Location">'Fix-Costs'!$C$2</definedName>
    <definedName name="SocialMedia">'Fix-Costs'!$C$5</definedName>
    <definedName name="TypeFC">Tableau2[Description]</definedName>
    <definedName name="TypeSC">Tableau2[Description]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7" l="1"/>
  <c r="L4" i="10"/>
  <c r="L4" i="11"/>
  <c r="F30" i="7"/>
  <c r="C30" i="7"/>
  <c r="D30" i="7"/>
  <c r="D1" i="7"/>
  <c r="D1" i="10"/>
  <c r="D1" i="11"/>
  <c r="D2" i="11"/>
  <c r="D2" i="10"/>
  <c r="D2" i="7"/>
  <c r="C9" i="13"/>
  <c r="C8" i="13"/>
  <c r="M6" i="5"/>
  <c r="G4" i="13"/>
  <c r="F7" i="12"/>
  <c r="H7" i="7"/>
  <c r="H2" i="7"/>
  <c r="H7" i="10"/>
  <c r="H2" i="10"/>
  <c r="H7" i="11"/>
  <c r="H2" i="11"/>
  <c r="E7" i="12"/>
  <c r="F7" i="13" l="1"/>
  <c r="G7" i="13" s="1"/>
  <c r="D7" i="13"/>
  <c r="D6" i="13"/>
  <c r="D5" i="13"/>
  <c r="D4" i="13"/>
  <c r="D3" i="13"/>
  <c r="D2" i="13"/>
  <c r="D8" i="13" l="1"/>
  <c r="D9" i="13"/>
  <c r="D3" i="11" l="1"/>
  <c r="N8" i="7"/>
  <c r="C16" i="7" s="1"/>
  <c r="N8" i="10"/>
  <c r="C16" i="10" s="1"/>
  <c r="N9" i="11"/>
  <c r="C16" i="11" s="1"/>
  <c r="C37" i="10"/>
  <c r="D37" i="10"/>
  <c r="C38" i="10"/>
  <c r="D38" i="10"/>
  <c r="C39" i="10"/>
  <c r="D39" i="10"/>
  <c r="C40" i="10"/>
  <c r="D40" i="10"/>
  <c r="C41" i="10"/>
  <c r="D41" i="10"/>
  <c r="D36" i="10"/>
  <c r="C36" i="10"/>
  <c r="C25" i="10"/>
  <c r="C26" i="10"/>
  <c r="C27" i="10"/>
  <c r="C28" i="10"/>
  <c r="C29" i="10"/>
  <c r="D25" i="10"/>
  <c r="D26" i="10"/>
  <c r="D27" i="10"/>
  <c r="D28" i="10"/>
  <c r="D29" i="10"/>
  <c r="D24" i="10"/>
  <c r="C24" i="10"/>
  <c r="E5" i="7"/>
  <c r="N7" i="7" s="1"/>
  <c r="E6" i="7" s="1"/>
  <c r="D5" i="7"/>
  <c r="M7" i="7" s="1"/>
  <c r="D6" i="7" s="1"/>
  <c r="D18" i="7" s="1"/>
  <c r="D5" i="10"/>
  <c r="F5" i="10"/>
  <c r="O7" i="10" s="1"/>
  <c r="F6" i="10" s="1"/>
  <c r="E5" i="10"/>
  <c r="N7" i="10" s="1"/>
  <c r="E6" i="10" s="1"/>
  <c r="E5" i="11"/>
  <c r="N7" i="11" s="1"/>
  <c r="E6" i="11" s="1"/>
  <c r="D5" i="11"/>
  <c r="C31" i="11"/>
  <c r="D31" i="11"/>
  <c r="C32" i="11"/>
  <c r="D32" i="11"/>
  <c r="F32" i="11" s="1"/>
  <c r="C33" i="11"/>
  <c r="D33" i="11"/>
  <c r="C34" i="11"/>
  <c r="D34" i="11"/>
  <c r="C35" i="11"/>
  <c r="D35" i="11"/>
  <c r="C36" i="11"/>
  <c r="D36" i="11"/>
  <c r="D30" i="11"/>
  <c r="C30" i="11"/>
  <c r="C29" i="11"/>
  <c r="D29" i="11"/>
  <c r="C31" i="10"/>
  <c r="D31" i="10"/>
  <c r="F31" i="10" s="1"/>
  <c r="C32" i="10"/>
  <c r="D32" i="10"/>
  <c r="C33" i="10"/>
  <c r="D33" i="10"/>
  <c r="C34" i="10"/>
  <c r="D34" i="10"/>
  <c r="F34" i="10" s="1"/>
  <c r="C35" i="10"/>
  <c r="D35" i="10"/>
  <c r="C30" i="10"/>
  <c r="D30" i="10"/>
  <c r="C32" i="7"/>
  <c r="D32" i="7"/>
  <c r="C33" i="7"/>
  <c r="D33" i="7"/>
  <c r="C34" i="7"/>
  <c r="D34" i="7"/>
  <c r="C35" i="7"/>
  <c r="D35" i="7"/>
  <c r="C36" i="7"/>
  <c r="D36" i="7"/>
  <c r="F36" i="7" s="1"/>
  <c r="D31" i="7"/>
  <c r="C31" i="7"/>
  <c r="C29" i="7"/>
  <c r="D29" i="7"/>
  <c r="D28" i="7"/>
  <c r="C28" i="7"/>
  <c r="D27" i="7"/>
  <c r="C27" i="7"/>
  <c r="D26" i="7"/>
  <c r="C26" i="7"/>
  <c r="D25" i="7"/>
  <c r="C25" i="7"/>
  <c r="D24" i="7"/>
  <c r="C24" i="7"/>
  <c r="D28" i="11"/>
  <c r="C28" i="11"/>
  <c r="D25" i="11"/>
  <c r="D26" i="11"/>
  <c r="D27" i="11"/>
  <c r="D24" i="11"/>
  <c r="C25" i="11"/>
  <c r="C26" i="11"/>
  <c r="C27" i="11"/>
  <c r="C24" i="11"/>
  <c r="F35" i="10" l="1"/>
  <c r="F30" i="10"/>
  <c r="F37" i="10"/>
  <c r="F32" i="7"/>
  <c r="F28" i="7"/>
  <c r="F33" i="11"/>
  <c r="F35" i="11"/>
  <c r="F35" i="7"/>
  <c r="F29" i="7"/>
  <c r="F34" i="7"/>
  <c r="E10" i="7"/>
  <c r="E9" i="7"/>
  <c r="E11" i="7"/>
  <c r="E18" i="7"/>
  <c r="C9" i="7"/>
  <c r="D9" i="7" s="1"/>
  <c r="C10" i="7"/>
  <c r="D10" i="7" s="1"/>
  <c r="C11" i="7"/>
  <c r="D11" i="7" s="1"/>
  <c r="M7" i="11"/>
  <c r="D6" i="11" s="1"/>
  <c r="C10" i="11" s="1"/>
  <c r="D10" i="11" s="1"/>
  <c r="E11" i="11"/>
  <c r="E18" i="11"/>
  <c r="E10" i="11"/>
  <c r="E9" i="11"/>
  <c r="F31" i="11"/>
  <c r="F11" i="10"/>
  <c r="F9" i="10"/>
  <c r="F10" i="10"/>
  <c r="F18" i="10"/>
  <c r="E18" i="10"/>
  <c r="E11" i="10"/>
  <c r="E10" i="10"/>
  <c r="E9" i="10"/>
  <c r="F40" i="10"/>
  <c r="D7" i="10"/>
  <c r="D12" i="10" s="1"/>
  <c r="D7" i="7"/>
  <c r="D7" i="11"/>
  <c r="D12" i="11" s="1"/>
  <c r="M7" i="10"/>
  <c r="D6" i="10" s="1"/>
  <c r="D18" i="10" s="1"/>
  <c r="F30" i="11"/>
  <c r="F28" i="11"/>
  <c r="F29" i="10"/>
  <c r="F31" i="7"/>
  <c r="F33" i="7"/>
  <c r="F27" i="7"/>
  <c r="F36" i="10"/>
  <c r="F39" i="10"/>
  <c r="F38" i="10"/>
  <c r="F41" i="10"/>
  <c r="F36" i="11"/>
  <c r="F24" i="11"/>
  <c r="F29" i="11"/>
  <c r="F27" i="11"/>
  <c r="F34" i="11"/>
  <c r="F26" i="11"/>
  <c r="F25" i="11"/>
  <c r="F33" i="10"/>
  <c r="F32" i="10"/>
  <c r="F24" i="10"/>
  <c r="F28" i="10"/>
  <c r="F26" i="10"/>
  <c r="F27" i="10"/>
  <c r="F26" i="7"/>
  <c r="F25" i="7"/>
  <c r="F24" i="7"/>
  <c r="F25" i="10"/>
  <c r="D13" i="7" l="1"/>
  <c r="D12" i="7"/>
  <c r="D18" i="11"/>
  <c r="C9" i="11"/>
  <c r="D9" i="11" s="1"/>
  <c r="C11" i="11"/>
  <c r="D11" i="11" s="1"/>
  <c r="C9" i="10"/>
  <c r="D9" i="10" s="1"/>
  <c r="C10" i="10"/>
  <c r="D10" i="10" s="1"/>
  <c r="C11" i="10"/>
  <c r="D11" i="10" s="1"/>
  <c r="D13" i="10"/>
  <c r="D13" i="11"/>
  <c r="K34" i="5" l="1"/>
  <c r="C17" i="11"/>
  <c r="D17" i="11" s="1"/>
  <c r="D16" i="11"/>
  <c r="D21" i="11" s="1"/>
  <c r="C17" i="10"/>
  <c r="D17" i="10" s="1"/>
  <c r="D16" i="10"/>
  <c r="D20" i="10" s="1"/>
  <c r="D3" i="10"/>
  <c r="C17" i="7"/>
  <c r="D17" i="7" s="1"/>
  <c r="D16" i="7"/>
  <c r="D21" i="7" s="1"/>
  <c r="D3" i="7"/>
  <c r="D21" i="10" l="1"/>
  <c r="D22" i="10"/>
  <c r="F21" i="11"/>
  <c r="D20" i="7"/>
  <c r="G10" i="7"/>
  <c r="F20" i="10"/>
  <c r="G17" i="11"/>
  <c r="D20" i="11"/>
  <c r="G16" i="11"/>
  <c r="G15" i="11"/>
  <c r="G18" i="11"/>
  <c r="G10" i="11"/>
  <c r="G13" i="7"/>
  <c r="G16" i="7"/>
  <c r="G18" i="7"/>
  <c r="G15" i="7"/>
  <c r="G11" i="7"/>
  <c r="G17" i="7"/>
  <c r="G14" i="7"/>
  <c r="G9" i="7"/>
  <c r="G12" i="7"/>
  <c r="G13" i="10"/>
  <c r="G18" i="10"/>
  <c r="G10" i="10"/>
  <c r="G16" i="10"/>
  <c r="G11" i="10"/>
  <c r="G15" i="10"/>
  <c r="G12" i="10"/>
  <c r="G9" i="10"/>
  <c r="G17" i="10"/>
  <c r="G14" i="10"/>
  <c r="G14" i="11"/>
  <c r="G13" i="11"/>
  <c r="G12" i="11"/>
  <c r="G9" i="11"/>
  <c r="G11" i="11"/>
  <c r="F21" i="10" l="1"/>
  <c r="E21" i="10"/>
  <c r="F22" i="10"/>
  <c r="E22" i="10"/>
  <c r="F21" i="7"/>
  <c r="E21" i="7"/>
  <c r="E21" i="11"/>
  <c r="F20" i="7"/>
  <c r="E20" i="7"/>
  <c r="F20" i="11"/>
  <c r="E20" i="11"/>
  <c r="E20" i="10"/>
  <c r="K22" i="5"/>
  <c r="K23" i="5"/>
  <c r="K24" i="5"/>
  <c r="K25" i="5"/>
  <c r="K26" i="5"/>
  <c r="K27" i="5"/>
  <c r="K28" i="5"/>
  <c r="K29" i="5"/>
  <c r="K30" i="5"/>
  <c r="K31" i="5"/>
  <c r="K32" i="5"/>
  <c r="K33" i="5"/>
  <c r="K12" i="5"/>
  <c r="K11" i="5"/>
  <c r="K8" i="5"/>
  <c r="K7" i="5"/>
  <c r="K9" i="5" l="1"/>
  <c r="K16" i="5" s="1"/>
  <c r="K17" i="5" s="1"/>
</calcChain>
</file>

<file path=xl/sharedStrings.xml><?xml version="1.0" encoding="utf-8"?>
<sst xmlns="http://schemas.openxmlformats.org/spreadsheetml/2006/main" count="380" uniqueCount="167">
  <si>
    <t>Serum 15ml</t>
  </si>
  <si>
    <t>Cost type</t>
  </si>
  <si>
    <t>Variable/fix</t>
  </si>
  <si>
    <t>Currencie</t>
  </si>
  <si>
    <t>Swiss Mircobiome Skincare</t>
  </si>
  <si>
    <t>Shipping DE-SG Skincare</t>
  </si>
  <si>
    <t>Bottles -Packaging</t>
  </si>
  <si>
    <t>Shipping IT - SG bottles</t>
  </si>
  <si>
    <t>Social media @12jt IDR</t>
  </si>
  <si>
    <t>Shipping SG - ID Skincare</t>
  </si>
  <si>
    <t>Shipping SG - ID bottles</t>
  </si>
  <si>
    <t>HAKI Unicare</t>
  </si>
  <si>
    <t>Registrasi BPOM</t>
  </si>
  <si>
    <t>AC All in (freight +custom7kg) 7kg x 250000</t>
  </si>
  <si>
    <t>Maklon</t>
  </si>
  <si>
    <t>Printing botol</t>
  </si>
  <si>
    <t>Printing box</t>
  </si>
  <si>
    <t>Registrasi BPOM 2 tanpa microbiotics</t>
  </si>
  <si>
    <t>Renovation cost, furniture &amp; AC</t>
  </si>
  <si>
    <t>Rental per year</t>
  </si>
  <si>
    <t>Status</t>
  </si>
  <si>
    <t>Paid</t>
  </si>
  <si>
    <t>Coming</t>
  </si>
  <si>
    <t>fix</t>
  </si>
  <si>
    <t>Variable</t>
  </si>
  <si>
    <t>IDR</t>
  </si>
  <si>
    <t>Marketing</t>
  </si>
  <si>
    <t>Marketing1</t>
  </si>
  <si>
    <t>Marketing2</t>
  </si>
  <si>
    <t>Packaging</t>
  </si>
  <si>
    <t>Service</t>
  </si>
  <si>
    <t>Various costs</t>
  </si>
  <si>
    <t>Price Agent, Pharmacy</t>
  </si>
  <si>
    <t>Filling bottle</t>
  </si>
  <si>
    <t>Total Fixed Costs</t>
  </si>
  <si>
    <t>Total Variable Costs</t>
  </si>
  <si>
    <t>Total Costs</t>
  </si>
  <si>
    <t>Total Fixed Costs Paid</t>
  </si>
  <si>
    <t>Total Fixed Costs Coming</t>
  </si>
  <si>
    <t>Qty of Bottles:</t>
  </si>
  <si>
    <t xml:space="preserve">Qty of Serum: </t>
  </si>
  <si>
    <t xml:space="preserve">Qty of Emultion: </t>
  </si>
  <si>
    <t xml:space="preserve">Qty of Lotion: </t>
  </si>
  <si>
    <t>Costs per Bottle:</t>
  </si>
  <si>
    <t>Costs per Bottle (CHF):</t>
  </si>
  <si>
    <t xml:space="preserve">Change CHF to IDR:  </t>
  </si>
  <si>
    <t xml:space="preserve">This price is calculated based on the "Total Costs"  </t>
  </si>
  <si>
    <t>Cost Type</t>
  </si>
  <si>
    <t>Cost Type2</t>
  </si>
  <si>
    <t>Shipping</t>
  </si>
  <si>
    <t>Renovation</t>
  </si>
  <si>
    <t>Social Media</t>
  </si>
  <si>
    <t>Raw material</t>
  </si>
  <si>
    <t>Staff</t>
  </si>
  <si>
    <t>Product transformation</t>
  </si>
  <si>
    <t>Rental</t>
  </si>
  <si>
    <t>Registration</t>
  </si>
  <si>
    <t>External Services</t>
  </si>
  <si>
    <t>Various</t>
  </si>
  <si>
    <t>Cost per Type before and after Taxes.</t>
  </si>
  <si>
    <t>Total Fix &amp; Variable Costs</t>
  </si>
  <si>
    <t xml:space="preserve">Tax:  </t>
  </si>
  <si>
    <t xml:space="preserve">Product Cost calculation </t>
  </si>
  <si>
    <t>Expenses</t>
  </si>
  <si>
    <t>Price(Euro)</t>
  </si>
  <si>
    <t>Price(IDR)</t>
  </si>
  <si>
    <t>Palet Cost:</t>
  </si>
  <si>
    <t>Change Euro - Roupiah</t>
  </si>
  <si>
    <t>Airless bottle pamela 15 ml</t>
  </si>
  <si>
    <t>overcap nina transparent</t>
  </si>
  <si>
    <t>Price/Bottle</t>
  </si>
  <si>
    <t>Disp Airless pamela snapp on pp colar glossy</t>
  </si>
  <si>
    <t>SERUM:</t>
  </si>
  <si>
    <t xml:space="preserve">Shipping </t>
  </si>
  <si>
    <t>Packaging 2</t>
  </si>
  <si>
    <t>Packaging 3</t>
  </si>
  <si>
    <t>Serum Raw Material</t>
  </si>
  <si>
    <t xml:space="preserve">Palett </t>
  </si>
  <si>
    <t>Bottle filling</t>
  </si>
  <si>
    <t>Change CHF - Roupiah</t>
  </si>
  <si>
    <t>CHF</t>
  </si>
  <si>
    <t>Airless bottle pamela 30 ml</t>
  </si>
  <si>
    <t>Calculating the cost of a bottle of Serum</t>
  </si>
  <si>
    <t>Calculating the cost of a bottle of Emulsion</t>
  </si>
  <si>
    <t>Calculating the cost of a bottle of Rich Lotion</t>
  </si>
  <si>
    <t>Filling Price per Bottle(IDR)</t>
  </si>
  <si>
    <t xml:space="preserve">Amount </t>
  </si>
  <si>
    <t>Total Amount(IDR)</t>
  </si>
  <si>
    <t>Indefinite</t>
  </si>
  <si>
    <t>Percentage of Total</t>
  </si>
  <si>
    <t>Euro</t>
  </si>
  <si>
    <t>Reseller Profit(%)</t>
  </si>
  <si>
    <t>Selling Price(€)</t>
  </si>
  <si>
    <t>15ml</t>
  </si>
  <si>
    <t>100ml</t>
  </si>
  <si>
    <t>Serum 100ml</t>
  </si>
  <si>
    <t>200ml</t>
  </si>
  <si>
    <t>Emulsion 100ml</t>
  </si>
  <si>
    <t>Emulsion 200ml</t>
  </si>
  <si>
    <t>30ml</t>
  </si>
  <si>
    <t>COSTS PER BOTTLE(30ml):</t>
  </si>
  <si>
    <t>Rich-Lotion 30ml</t>
  </si>
  <si>
    <t>Rich-Lotion 100ml</t>
  </si>
  <si>
    <t>COSTS PER BOTTLE(15ml):</t>
  </si>
  <si>
    <t>COSTS PER BOTTLE(100ml):</t>
  </si>
  <si>
    <t>COSTS PER BOTTLE(200ml):</t>
  </si>
  <si>
    <t>Emulsion Raw Material</t>
  </si>
  <si>
    <t>Rich-Lotion Raw Material</t>
  </si>
  <si>
    <t>Bootle loss rate:</t>
  </si>
  <si>
    <t>Bottle loss rate:</t>
  </si>
  <si>
    <t>%</t>
  </si>
  <si>
    <t>Qty Bott. 30ml</t>
  </si>
  <si>
    <t>Qty Bott. 100ml</t>
  </si>
  <si>
    <t>Qty in ml off Rich-Lotion</t>
  </si>
  <si>
    <t>Qty off Bottles(30ml) possible</t>
  </si>
  <si>
    <t xml:space="preserve">100ml: </t>
  </si>
  <si>
    <t xml:space="preserve">Qty Bottles(30ml) after loss:  </t>
  </si>
  <si>
    <t>Qty 30ml</t>
  </si>
  <si>
    <t>Qty 100ml</t>
  </si>
  <si>
    <t>Qty 200ml</t>
  </si>
  <si>
    <t>Qty in ml off Serum</t>
  </si>
  <si>
    <t>Qty in ml off Emulsion</t>
  </si>
  <si>
    <t>Qty 15ml</t>
  </si>
  <si>
    <t>Emulsion 30ml</t>
  </si>
  <si>
    <t>Discount raw Mat.</t>
  </si>
  <si>
    <t>Raw Mat. Price</t>
  </si>
  <si>
    <t>Final Proce</t>
  </si>
  <si>
    <t>Raw Mat. Disc.</t>
  </si>
  <si>
    <t>Overcap nina price(€)</t>
  </si>
  <si>
    <t>Airless Pamela Snap price(€)</t>
  </si>
  <si>
    <t>Airless bottle 30ml price(€)</t>
  </si>
  <si>
    <t>Total Qty off Bottles</t>
  </si>
  <si>
    <t>Fised Costs</t>
  </si>
  <si>
    <t>Total Fixed Costs:</t>
  </si>
  <si>
    <t>€</t>
  </si>
  <si>
    <t>Fixed Costs</t>
  </si>
  <si>
    <t>Airless bottle 15ml price(€)</t>
  </si>
  <si>
    <t>HAKI (DPI)</t>
  </si>
  <si>
    <t>Type</t>
  </si>
  <si>
    <t>Amount(IDR)</t>
  </si>
  <si>
    <t>Coûts de location du lieu / an</t>
  </si>
  <si>
    <t>Frais de rénovation, mobilier et climatisation</t>
  </si>
  <si>
    <t>Frais POM</t>
  </si>
  <si>
    <t>frais d'échantillon de bouteille</t>
  </si>
  <si>
    <t xml:space="preserve">Shipping cost for packaging </t>
  </si>
  <si>
    <t>Shipping cost for packaging</t>
  </si>
  <si>
    <t>shipping cost Bottle</t>
  </si>
  <si>
    <t>shipping cost bahan baku raw material</t>
  </si>
  <si>
    <t>shipping cost raw material</t>
  </si>
  <si>
    <t>Tax PIB</t>
  </si>
  <si>
    <t>SMB Profit(%)</t>
  </si>
  <si>
    <t>Somme (IDR)</t>
  </si>
  <si>
    <t>Somme (€)</t>
  </si>
  <si>
    <t>Max. Prod. Price(€)</t>
  </si>
  <si>
    <t>A</t>
  </si>
  <si>
    <t>réseaux sociaux Rp. 12 000 000 par mois,7 mois en avance</t>
  </si>
  <si>
    <t>M</t>
  </si>
  <si>
    <t>Description</t>
  </si>
  <si>
    <t>U</t>
  </si>
  <si>
    <t>PercentFromTotal</t>
  </si>
  <si>
    <t>Taxes:</t>
  </si>
  <si>
    <t>Currency</t>
  </si>
  <si>
    <t>EUR</t>
  </si>
  <si>
    <t>Paid Shipping costs</t>
  </si>
  <si>
    <t>Shipping IT-SG Packaging</t>
  </si>
  <si>
    <t xml:space="preserve">Shipping Costs(Bottles):  </t>
  </si>
  <si>
    <t>Price for Reseller(€)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</si>
</sst>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64" formatCode="&quot;CHF&quot;\ #,##0.00"/>
    <numFmt numFmtId="165" formatCode="_(* #,##0_);_(* \(#,##0\);_(* &quot;-&quot;??_);_(@_)"/>
    <numFmt numFmtId="166" formatCode="#,##0.0"/>
    <numFmt numFmtId="167" formatCode="0.0%"/>
    <numFmt numFmtId="168" formatCode="[$EUR]\ #,##0;[$EUR]\ \-#,##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33">
    <xf numFmtId="0" fontId="0" fillId="0" borderId="0" xfId="0"/>
    <xf numFmtId="0" fontId="0" fillId="0" borderId="0" xfId="0" applyAlignment="1">
      <alignment horizontal="right"/>
    </xf>
    <xf numFmtId="0" fontId="0" fillId="5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7" borderId="0" xfId="0" applyFill="1"/>
    <xf numFmtId="43" fontId="0" fillId="0" borderId="0" xfId="1" applyFont="1"/>
    <xf numFmtId="4" fontId="0" fillId="0" borderId="0" xfId="0" applyNumberFormat="1"/>
    <xf numFmtId="0" fontId="1" fillId="0" borderId="0" xfId="0" applyFont="1"/>
    <xf numFmtId="4" fontId="0" fillId="0" borderId="0" xfId="0" applyNumberFormat="1" applyAlignment="1">
      <alignment horizontal="right"/>
    </xf>
    <xf numFmtId="0" fontId="1" fillId="6" borderId="0" xfId="0" applyFont="1" applyFill="1"/>
    <xf numFmtId="1" fontId="0" fillId="0" borderId="0" xfId="0" applyNumberFormat="1"/>
    <xf numFmtId="0" fontId="1" fillId="0" borderId="0" xfId="0" applyFont="1" applyAlignment="1">
      <alignment horizontal="right"/>
    </xf>
    <xf numFmtId="4" fontId="0" fillId="0" borderId="0" xfId="0" applyNumberFormat="1" applyAlignment="1">
      <alignment horizontal="left"/>
    </xf>
    <xf numFmtId="4" fontId="1" fillId="9" borderId="1" xfId="0" applyNumberFormat="1" applyFont="1" applyFill="1" applyBorder="1" applyAlignment="1">
      <alignment horizontal="right"/>
    </xf>
    <xf numFmtId="4" fontId="11" fillId="0" borderId="0" xfId="0" applyNumberFormat="1" applyFont="1" applyAlignment="1">
      <alignment horizontal="left"/>
    </xf>
    <xf numFmtId="0" fontId="11" fillId="0" borderId="0" xfId="0" applyFont="1"/>
    <xf numFmtId="0" fontId="11" fillId="0" borderId="3" xfId="0" applyFont="1" applyBorder="1"/>
    <xf numFmtId="4" fontId="0" fillId="0" borderId="3" xfId="0" applyNumberFormat="1" applyBorder="1" applyAlignment="1">
      <alignment horizontal="right"/>
    </xf>
    <xf numFmtId="0" fontId="1" fillId="2" borderId="4" xfId="0" applyFont="1" applyFill="1" applyBorder="1"/>
    <xf numFmtId="4" fontId="10" fillId="2" borderId="4" xfId="0" applyNumberFormat="1" applyFont="1" applyFill="1" applyBorder="1" applyAlignment="1">
      <alignment horizontal="right"/>
    </xf>
    <xf numFmtId="0" fontId="1" fillId="4" borderId="4" xfId="0" applyFont="1" applyFill="1" applyBorder="1"/>
    <xf numFmtId="4" fontId="1" fillId="4" borderId="4" xfId="0" applyNumberFormat="1" applyFont="1" applyFill="1" applyBorder="1" applyAlignment="1">
      <alignment horizontal="right"/>
    </xf>
    <xf numFmtId="0" fontId="8" fillId="7" borderId="0" xfId="0" applyFont="1" applyFill="1"/>
    <xf numFmtId="4" fontId="8" fillId="7" borderId="0" xfId="0" applyNumberFormat="1" applyFont="1" applyFill="1" applyAlignment="1">
      <alignment horizontal="left"/>
    </xf>
    <xf numFmtId="0" fontId="5" fillId="0" borderId="0" xfId="0" applyFont="1"/>
    <xf numFmtId="164" fontId="1" fillId="9" borderId="1" xfId="0" applyNumberFormat="1" applyFont="1" applyFill="1" applyBorder="1" applyAlignment="1">
      <alignment horizontal="right"/>
    </xf>
    <xf numFmtId="0" fontId="1" fillId="9" borderId="1" xfId="0" applyFont="1" applyFill="1" applyBorder="1"/>
    <xf numFmtId="0" fontId="1" fillId="5" borderId="0" xfId="0" applyFont="1" applyFill="1" applyAlignment="1">
      <alignment horizontal="right"/>
    </xf>
    <xf numFmtId="1" fontId="0" fillId="5" borderId="0" xfId="0" applyNumberFormat="1" applyFill="1" applyAlignment="1">
      <alignment horizontal="left"/>
    </xf>
    <xf numFmtId="9" fontId="0" fillId="5" borderId="0" xfId="0" applyNumberFormat="1" applyFill="1" applyAlignment="1">
      <alignment horizontal="left"/>
    </xf>
    <xf numFmtId="0" fontId="5" fillId="8" borderId="0" xfId="0" applyFont="1" applyFill="1"/>
    <xf numFmtId="0" fontId="0" fillId="8" borderId="0" xfId="0" applyFill="1"/>
    <xf numFmtId="4" fontId="1" fillId="7" borderId="4" xfId="0" applyNumberFormat="1" applyFont="1" applyFill="1" applyBorder="1" applyAlignment="1">
      <alignment horizontal="center"/>
    </xf>
    <xf numFmtId="4" fontId="5" fillId="0" borderId="0" xfId="0" applyNumberFormat="1" applyFont="1" applyAlignment="1">
      <alignment horizontal="left"/>
    </xf>
    <xf numFmtId="14" fontId="0" fillId="0" borderId="0" xfId="0" applyNumberFormat="1"/>
    <xf numFmtId="0" fontId="7" fillId="4" borderId="0" xfId="0" applyFont="1" applyFill="1"/>
    <xf numFmtId="0" fontId="0" fillId="5" borderId="0" xfId="0" applyFill="1" applyAlignment="1">
      <alignment horizontal="left"/>
    </xf>
    <xf numFmtId="0" fontId="1" fillId="6" borderId="0" xfId="0" applyFont="1" applyFill="1" applyAlignment="1">
      <alignment horizontal="left"/>
    </xf>
    <xf numFmtId="10" fontId="0" fillId="4" borderId="0" xfId="0" applyNumberFormat="1" applyFill="1" applyAlignment="1">
      <alignment horizontal="left"/>
    </xf>
    <xf numFmtId="4" fontId="3" fillId="0" borderId="0" xfId="0" applyNumberFormat="1" applyFont="1"/>
    <xf numFmtId="43" fontId="3" fillId="0" borderId="0" xfId="1" applyFont="1"/>
    <xf numFmtId="2" fontId="0" fillId="0" borderId="0" xfId="0" applyNumberFormat="1"/>
    <xf numFmtId="2" fontId="1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" fontId="3" fillId="0" borderId="0" xfId="0" applyNumberFormat="1" applyFont="1" applyAlignment="1">
      <alignment horizontal="left"/>
    </xf>
    <xf numFmtId="4" fontId="1" fillId="6" borderId="0" xfId="0" applyNumberFormat="1" applyFont="1" applyFill="1"/>
    <xf numFmtId="4" fontId="0" fillId="4" borderId="0" xfId="0" applyNumberFormat="1" applyFill="1" applyAlignment="1">
      <alignment horizontal="left"/>
    </xf>
    <xf numFmtId="1" fontId="0" fillId="4" borderId="0" xfId="0" applyNumberFormat="1" applyFill="1" applyAlignment="1">
      <alignment horizontal="left"/>
    </xf>
    <xf numFmtId="1" fontId="3" fillId="4" borderId="0" xfId="0" applyNumberFormat="1" applyFont="1" applyFill="1" applyAlignment="1">
      <alignment horizontal="left"/>
    </xf>
    <xf numFmtId="2" fontId="1" fillId="4" borderId="0" xfId="0" applyNumberFormat="1" applyFont="1" applyFill="1" applyAlignment="1">
      <alignment horizontal="left"/>
    </xf>
    <xf numFmtId="0" fontId="12" fillId="4" borderId="0" xfId="0" applyFont="1" applyFill="1" applyAlignment="1">
      <alignment horizontal="center" vertical="center"/>
    </xf>
    <xf numFmtId="0" fontId="1" fillId="10" borderId="0" xfId="0" applyFont="1" applyFill="1"/>
    <xf numFmtId="1" fontId="3" fillId="8" borderId="0" xfId="0" applyNumberFormat="1" applyFont="1" applyFill="1" applyAlignment="1">
      <alignment horizontal="left"/>
    </xf>
    <xf numFmtId="0" fontId="3" fillId="8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4" fontId="0" fillId="2" borderId="2" xfId="0" applyNumberFormat="1" applyFill="1" applyBorder="1" applyAlignment="1">
      <alignment horizontal="left"/>
    </xf>
    <xf numFmtId="1" fontId="0" fillId="2" borderId="2" xfId="0" applyNumberForma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2" fontId="1" fillId="2" borderId="2" xfId="0" applyNumberFormat="1" applyFont="1" applyFill="1" applyBorder="1" applyAlignment="1">
      <alignment horizontal="left"/>
    </xf>
    <xf numFmtId="4" fontId="0" fillId="2" borderId="0" xfId="0" applyNumberFormat="1" applyFill="1" applyAlignment="1">
      <alignment horizontal="left"/>
    </xf>
    <xf numFmtId="1" fontId="0" fillId="2" borderId="0" xfId="0" applyNumberFormat="1" applyFill="1" applyAlignment="1">
      <alignment horizontal="left"/>
    </xf>
    <xf numFmtId="1" fontId="3" fillId="2" borderId="0" xfId="0" applyNumberFormat="1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3" fontId="0" fillId="2" borderId="2" xfId="0" applyNumberForma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3" fontId="0" fillId="2" borderId="0" xfId="0" applyNumberFormat="1" applyFill="1" applyAlignment="1">
      <alignment horizontal="left"/>
    </xf>
    <xf numFmtId="0" fontId="3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1" fontId="1" fillId="0" borderId="0" xfId="0" applyNumberFormat="1" applyFont="1"/>
    <xf numFmtId="1" fontId="1" fillId="0" borderId="0" xfId="0" applyNumberFormat="1" applyFont="1" applyAlignment="1">
      <alignment horizontal="left"/>
    </xf>
    <xf numFmtId="2" fontId="13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3" fillId="7" borderId="0" xfId="0" applyFont="1" applyFill="1" applyAlignment="1">
      <alignment horizontal="left"/>
    </xf>
    <xf numFmtId="2" fontId="1" fillId="7" borderId="0" xfId="0" applyNumberFormat="1" applyFont="1" applyFill="1" applyAlignment="1">
      <alignment horizontal="left"/>
    </xf>
    <xf numFmtId="4" fontId="0" fillId="7" borderId="2" xfId="0" applyNumberFormat="1" applyFill="1" applyBorder="1" applyAlignment="1">
      <alignment horizontal="left"/>
    </xf>
    <xf numFmtId="1" fontId="0" fillId="7" borderId="2" xfId="0" applyNumberFormat="1" applyFill="1" applyBorder="1" applyAlignment="1">
      <alignment horizontal="left"/>
    </xf>
    <xf numFmtId="0" fontId="3" fillId="7" borderId="2" xfId="0" applyFont="1" applyFill="1" applyBorder="1" applyAlignment="1">
      <alignment horizontal="left"/>
    </xf>
    <xf numFmtId="2" fontId="1" fillId="7" borderId="2" xfId="0" applyNumberFormat="1" applyFont="1" applyFill="1" applyBorder="1" applyAlignment="1">
      <alignment horizontal="left"/>
    </xf>
    <xf numFmtId="4" fontId="0" fillId="7" borderId="0" xfId="0" applyNumberFormat="1" applyFill="1" applyAlignment="1">
      <alignment horizontal="left"/>
    </xf>
    <xf numFmtId="1" fontId="0" fillId="7" borderId="0" xfId="0" applyNumberFormat="1" applyFill="1" applyAlignment="1">
      <alignment horizontal="left"/>
    </xf>
    <xf numFmtId="0" fontId="6" fillId="0" borderId="0" xfId="0" applyFont="1" applyAlignment="1">
      <alignment horizontal="left"/>
    </xf>
    <xf numFmtId="4" fontId="13" fillId="0" borderId="0" xfId="0" applyNumberFormat="1" applyFont="1" applyAlignment="1">
      <alignment horizontal="left"/>
    </xf>
    <xf numFmtId="4" fontId="4" fillId="0" borderId="0" xfId="0" applyNumberFormat="1" applyFont="1"/>
    <xf numFmtId="1" fontId="1" fillId="0" borderId="0" xfId="0" applyNumberFormat="1" applyFont="1" applyAlignment="1">
      <alignment horizontal="center"/>
    </xf>
    <xf numFmtId="165" fontId="0" fillId="0" borderId="0" xfId="1" applyNumberFormat="1" applyFont="1"/>
    <xf numFmtId="0" fontId="14" fillId="0" borderId="0" xfId="0" applyFont="1"/>
    <xf numFmtId="2" fontId="14" fillId="8" borderId="0" xfId="0" applyNumberFormat="1" applyFont="1" applyFill="1" applyAlignment="1">
      <alignment horizontal="left"/>
    </xf>
    <xf numFmtId="0" fontId="14" fillId="8" borderId="0" xfId="0" applyFont="1" applyFill="1" applyAlignment="1">
      <alignment horizontal="left"/>
    </xf>
    <xf numFmtId="3" fontId="14" fillId="0" borderId="0" xfId="0" applyNumberFormat="1" applyFont="1" applyAlignment="1">
      <alignment horizontal="right"/>
    </xf>
    <xf numFmtId="4" fontId="14" fillId="0" borderId="0" xfId="0" applyNumberFormat="1" applyFont="1"/>
    <xf numFmtId="2" fontId="14" fillId="0" borderId="0" xfId="0" applyNumberFormat="1" applyFont="1" applyAlignment="1">
      <alignment horizontal="left"/>
    </xf>
    <xf numFmtId="1" fontId="14" fillId="0" borderId="0" xfId="0" applyNumberFormat="1" applyFont="1"/>
    <xf numFmtId="0" fontId="3" fillId="0" borderId="0" xfId="0" applyFont="1" applyAlignment="1">
      <alignment horizontal="right"/>
    </xf>
    <xf numFmtId="41" fontId="16" fillId="0" borderId="0" xfId="0" applyNumberFormat="1" applyFont="1" applyAlignment="1">
      <alignment horizontal="right"/>
    </xf>
    <xf numFmtId="165" fontId="1" fillId="0" borderId="1" xfId="0" applyNumberFormat="1" applyFont="1" applyBorder="1"/>
    <xf numFmtId="165" fontId="1" fillId="0" borderId="0" xfId="0" applyNumberFormat="1" applyFont="1" applyAlignment="1">
      <alignment horizontal="left"/>
    </xf>
    <xf numFmtId="165" fontId="6" fillId="0" borderId="0" xfId="1" applyNumberFormat="1" applyFont="1"/>
    <xf numFmtId="4" fontId="3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" fontId="14" fillId="0" borderId="0" xfId="0" applyNumberFormat="1" applyFont="1" applyAlignment="1">
      <alignment horizontal="right"/>
    </xf>
    <xf numFmtId="166" fontId="0" fillId="0" borderId="0" xfId="0" applyNumberFormat="1"/>
    <xf numFmtId="167" fontId="0" fillId="0" borderId="0" xfId="0" applyNumberFormat="1"/>
    <xf numFmtId="168" fontId="16" fillId="0" borderId="0" xfId="0" applyNumberFormat="1" applyFont="1"/>
    <xf numFmtId="168" fontId="7" fillId="0" borderId="0" xfId="0" applyNumberFormat="1" applyFont="1"/>
    <xf numFmtId="0" fontId="7" fillId="0" borderId="0" xfId="0" applyFont="1" applyAlignment="1">
      <alignment horizontal="right"/>
    </xf>
    <xf numFmtId="1" fontId="4" fillId="0" borderId="0" xfId="0" applyNumberFormat="1" applyFont="1"/>
    <xf numFmtId="0" fontId="4" fillId="0" borderId="0" xfId="0" applyFont="1"/>
    <xf numFmtId="4" fontId="15" fillId="0" borderId="0" xfId="0" applyNumberFormat="1" applyFont="1"/>
    <xf numFmtId="0" fontId="15" fillId="0" borderId="0" xfId="0" applyFont="1"/>
    <xf numFmtId="0" fontId="1" fillId="3" borderId="0" xfId="0" applyFont="1" applyFill="1"/>
    <xf numFmtId="4" fontId="17" fillId="3" borderId="0" xfId="0" applyNumberFormat="1" applyFont="1" applyFill="1" applyAlignment="1">
      <alignment horizontal="left"/>
    </xf>
    <xf numFmtId="0" fontId="1" fillId="8" borderId="0" xfId="0" applyFont="1" applyFill="1"/>
    <xf numFmtId="2" fontId="18" fillId="3" borderId="0" xfId="0" applyNumberFormat="1" applyFont="1" applyFill="1" applyAlignment="1">
      <alignment horizontal="left"/>
    </xf>
    <xf numFmtId="4" fontId="7" fillId="3" borderId="0" xfId="0" applyNumberFormat="1" applyFont="1" applyFill="1" applyAlignment="1">
      <alignment horizontal="left"/>
    </xf>
    <xf numFmtId="4" fontId="18" fillId="3" borderId="0" xfId="0" applyNumberFormat="1" applyFont="1" applyFill="1" applyAlignment="1">
      <alignment horizontal="left"/>
    </xf>
    <xf numFmtId="0" fontId="19" fillId="3" borderId="0" xfId="0" applyFont="1" applyFill="1" applyAlignment="1">
      <alignment horizontal="left"/>
    </xf>
    <xf numFmtId="1" fontId="19" fillId="3" borderId="0" xfId="0" applyNumberFormat="1" applyFont="1" applyFill="1" applyAlignment="1">
      <alignment horizontal="left"/>
    </xf>
    <xf numFmtId="0" fontId="1" fillId="10" borderId="0" xfId="0" applyFont="1" applyFill="1" applyAlignment="1">
      <alignment horizontal="right"/>
    </xf>
    <xf numFmtId="1" fontId="19" fillId="3" borderId="0" xfId="0" applyNumberFormat="1" applyFont="1" applyFill="1" applyAlignment="1">
      <alignment horizontal="right"/>
    </xf>
    <xf numFmtId="0" fontId="3" fillId="8" borderId="0" xfId="0" applyFont="1" applyFill="1" applyAlignment="1">
      <alignment horizontal="right"/>
    </xf>
    <xf numFmtId="2" fontId="18" fillId="3" borderId="0" xfId="0" applyNumberFormat="1" applyFont="1" applyFill="1" applyAlignment="1">
      <alignment horizontal="right"/>
    </xf>
    <xf numFmtId="2" fontId="14" fillId="8" borderId="0" xfId="0" applyNumberFormat="1" applyFont="1" applyFill="1" applyAlignment="1">
      <alignment horizontal="right"/>
    </xf>
    <xf numFmtId="4" fontId="7" fillId="3" borderId="0" xfId="0" applyNumberFormat="1" applyFont="1" applyFill="1" applyAlignment="1">
      <alignment horizontal="right"/>
    </xf>
    <xf numFmtId="0" fontId="7" fillId="3" borderId="0" xfId="0" applyFont="1" applyFill="1" applyAlignment="1">
      <alignment horizontal="right"/>
    </xf>
    <xf numFmtId="0" fontId="12" fillId="4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12" fillId="7" borderId="0" xfId="0" applyFont="1" applyFill="1" applyAlignment="1">
      <alignment horizontal="center" vertical="center"/>
    </xf>
  </cellXfs>
  <cellStyles count="2">
    <cellStyle name="Milliers" xfId="1" builtinId="3"/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7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</dxf>
    <dxf>
      <numFmt numFmtId="4" formatCode="#,##0.00"/>
    </dxf>
    <dxf>
      <numFmt numFmtId="4" formatCode="#,##0.00"/>
    </dxf>
    <dxf>
      <numFmt numFmtId="4" formatCode="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4" formatCode="#,##0.00"/>
    </dxf>
    <dxf>
      <numFmt numFmtId="4" formatCode="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4" formatCode="#,##0.00"/>
    </dxf>
    <dxf>
      <numFmt numFmtId="4" formatCode="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top style="thin">
          <color auto="1"/>
        </top>
      </border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  <numFmt numFmtId="4" formatCode="#,##0.00"/>
    </dxf>
    <dxf>
      <font>
        <b/>
      </font>
    </dxf>
  </dxfs>
  <tableStyles count="0" defaultTableStyle="TableStyleMedium2" defaultPivotStyle="PivotStyleLight16"/>
  <colors>
    <mruColors>
      <color rgb="FFFFFFCC"/>
      <color rgb="FFF8FA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/>
              <a:t>Serum</a:t>
            </a:r>
          </a:p>
        </c:rich>
      </c:tx>
      <c:layout>
        <c:manualLayout>
          <c:xMode val="edge"/>
          <c:yMode val="edge"/>
          <c:x val="3.4076842646785073E-2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>
        <c:manualLayout>
          <c:layoutTarget val="inner"/>
          <c:xMode val="edge"/>
          <c:yMode val="edge"/>
          <c:x val="3.6779220055556713E-2"/>
          <c:y val="0.12807917569255808"/>
          <c:w val="0.51426958223055985"/>
          <c:h val="0.81238868067255787"/>
        </c:manualLayout>
      </c:layout>
      <c:pieChart>
        <c:varyColors val="1"/>
        <c:ser>
          <c:idx val="0"/>
          <c:order val="0"/>
          <c:explosion val="18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108-4631-9195-F91218C3463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108-4631-9195-F91218C3463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108-4631-9195-F91218C34634}"/>
              </c:ext>
            </c:extLst>
          </c:dPt>
          <c:dPt>
            <c:idx val="3"/>
            <c:bubble3D val="0"/>
            <c:explosion val="8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AAB-4A56-8942-BE75218EABD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108-4631-9195-F91218C3463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108-4631-9195-F91218C3463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108-4631-9195-F91218C34634}"/>
              </c:ext>
            </c:extLst>
          </c:dPt>
          <c:dPt>
            <c:idx val="7"/>
            <c:bubble3D val="0"/>
            <c:explosion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AAB-4A56-8942-BE75218EABD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108-4631-9195-F91218C34634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AAB-4A56-8942-BE75218EABD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Serum!$B$9:$B$18</c:f>
              <c:strCache>
                <c:ptCount val="10"/>
                <c:pt idx="0">
                  <c:v>Airless bottle pamela 15 ml</c:v>
                </c:pt>
                <c:pt idx="1">
                  <c:v>overcap nina transparent</c:v>
                </c:pt>
                <c:pt idx="2">
                  <c:v>Disp Airless pamela snapp on pp colar glossy</c:v>
                </c:pt>
                <c:pt idx="3">
                  <c:v>Shipping </c:v>
                </c:pt>
                <c:pt idx="4">
                  <c:v>Fixed Costs</c:v>
                </c:pt>
                <c:pt idx="5">
                  <c:v>Packaging 2</c:v>
                </c:pt>
                <c:pt idx="6">
                  <c:v>Packaging 3</c:v>
                </c:pt>
                <c:pt idx="7">
                  <c:v>Serum Raw Material</c:v>
                </c:pt>
                <c:pt idx="8">
                  <c:v>Palett </c:v>
                </c:pt>
                <c:pt idx="9">
                  <c:v>Bottle filling</c:v>
                </c:pt>
              </c:strCache>
            </c:strRef>
          </c:cat>
          <c:val>
            <c:numRef>
              <c:f>Serum!$G$9:$G$18</c:f>
              <c:numCache>
                <c:formatCode>0.00%</c:formatCode>
                <c:ptCount val="10"/>
                <c:pt idx="0">
                  <c:v>5.1238694652547066E-2</c:v>
                </c:pt>
                <c:pt idx="1">
                  <c:v>1.4876894859639651E-2</c:v>
                </c:pt>
                <c:pt idx="2">
                  <c:v>6.4657000822465366E-2</c:v>
                </c:pt>
                <c:pt idx="3">
                  <c:v>4.2558520021619882E-2</c:v>
                </c:pt>
                <c:pt idx="4">
                  <c:v>0.13739042518574124</c:v>
                </c:pt>
                <c:pt idx="5">
                  <c:v>0</c:v>
                </c:pt>
                <c:pt idx="6">
                  <c:v>0</c:v>
                </c:pt>
                <c:pt idx="7">
                  <c:v>0.5861478323327558</c:v>
                </c:pt>
                <c:pt idx="8">
                  <c:v>2.9501137606280218E-3</c:v>
                </c:pt>
                <c:pt idx="9">
                  <c:v>0.10018051836460296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AB-4A56-8942-BE75218EABD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27399596508286"/>
          <c:y val="1.0355424321959758E-2"/>
          <c:w val="0.40726004034917146"/>
          <c:h val="0.98843248760571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/>
              <a:t>Emulsion</a:t>
            </a:r>
          </a:p>
        </c:rich>
      </c:tx>
      <c:layout>
        <c:manualLayout>
          <c:xMode val="edge"/>
          <c:yMode val="edge"/>
          <c:x val="3.079915561279643E-2"/>
          <c:y val="2.49221183800623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>
        <c:manualLayout>
          <c:layoutTarget val="inner"/>
          <c:xMode val="edge"/>
          <c:yMode val="edge"/>
          <c:x val="2.1458179283471917E-2"/>
          <c:y val="0.21698872356699478"/>
          <c:w val="0.56878398633066374"/>
          <c:h val="0.74475824966397175"/>
        </c:manualLayout>
      </c:layout>
      <c:pieChart>
        <c:varyColors val="1"/>
        <c:ser>
          <c:idx val="0"/>
          <c:order val="0"/>
          <c:dPt>
            <c:idx val="0"/>
            <c:bubble3D val="0"/>
            <c:explosion val="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2F8F-485F-BD30-51F6D7BE6EF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D29-48D1-92B2-74238AAF0E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D29-48D1-92B2-74238AAF0ED6}"/>
              </c:ext>
            </c:extLst>
          </c:dPt>
          <c:dPt>
            <c:idx val="3"/>
            <c:bubble3D val="0"/>
            <c:explosion val="6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2F8F-485F-BD30-51F6D7BE6EFC}"/>
              </c:ext>
            </c:extLst>
          </c:dPt>
          <c:dPt>
            <c:idx val="4"/>
            <c:bubble3D val="0"/>
            <c:explosion val="13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F8F-485F-BD30-51F6D7BE6EF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D29-48D1-92B2-74238AAF0ED6}"/>
              </c:ext>
            </c:extLst>
          </c:dPt>
          <c:dPt>
            <c:idx val="6"/>
            <c:bubble3D val="0"/>
            <c:explosion val="8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2F8F-485F-BD30-51F6D7BE6EFC}"/>
              </c:ext>
            </c:extLst>
          </c:dPt>
          <c:dPt>
            <c:idx val="7"/>
            <c:bubble3D val="0"/>
            <c:explosion val="6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F8F-485F-BD30-51F6D7BE6EF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D29-48D1-92B2-74238AAF0ED6}"/>
              </c:ext>
            </c:extLst>
          </c:dPt>
          <c:dPt>
            <c:idx val="9"/>
            <c:bubble3D val="0"/>
            <c:explosion val="12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F8F-485F-BD30-51F6D7BE6EF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Emulsion!$B$9:$B$18</c:f>
              <c:strCache>
                <c:ptCount val="10"/>
                <c:pt idx="0">
                  <c:v>Airless bottle pamela 30 ml</c:v>
                </c:pt>
                <c:pt idx="1">
                  <c:v>overcap nina transparent</c:v>
                </c:pt>
                <c:pt idx="2">
                  <c:v>Disp Airless pamela snapp on pp colar glossy</c:v>
                </c:pt>
                <c:pt idx="3">
                  <c:v>Shipping </c:v>
                </c:pt>
                <c:pt idx="4">
                  <c:v>Fixed Costs</c:v>
                </c:pt>
                <c:pt idx="5">
                  <c:v>Packaging 2</c:v>
                </c:pt>
                <c:pt idx="6">
                  <c:v>Packaging 3</c:v>
                </c:pt>
                <c:pt idx="7">
                  <c:v>Emulsion Raw Material</c:v>
                </c:pt>
                <c:pt idx="8">
                  <c:v>Palett </c:v>
                </c:pt>
                <c:pt idx="9">
                  <c:v>Bottle filling</c:v>
                </c:pt>
              </c:strCache>
            </c:strRef>
          </c:cat>
          <c:val>
            <c:numRef>
              <c:f>Emulsion!$G$9:$G$18</c:f>
              <c:numCache>
                <c:formatCode>0.00%</c:formatCode>
                <c:ptCount val="10"/>
                <c:pt idx="0">
                  <c:v>6.8294262533281358E-2</c:v>
                </c:pt>
                <c:pt idx="1">
                  <c:v>1.9095305385267162E-2</c:v>
                </c:pt>
                <c:pt idx="2">
                  <c:v>8.2990784545367943E-2</c:v>
                </c:pt>
                <c:pt idx="3">
                  <c:v>4.0250869479334914E-2</c:v>
                </c:pt>
                <c:pt idx="4">
                  <c:v>0.10286972435444341</c:v>
                </c:pt>
                <c:pt idx="5">
                  <c:v>0</c:v>
                </c:pt>
                <c:pt idx="6">
                  <c:v>0</c:v>
                </c:pt>
                <c:pt idx="7">
                  <c:v>0.55218344921840257</c:v>
                </c:pt>
                <c:pt idx="8">
                  <c:v>5.7284490408484653E-3</c:v>
                </c:pt>
                <c:pt idx="9">
                  <c:v>0.12858715544305427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8F-485F-BD30-51F6D7BE6EF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017501994215552"/>
          <c:y val="1.7338533617877201E-2"/>
          <c:w val="0.36982498005784453"/>
          <c:h val="0.9818339997219973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/>
              <a:t>Rich-Lotion</a:t>
            </a:r>
          </a:p>
        </c:rich>
      </c:tx>
      <c:layout>
        <c:manualLayout>
          <c:xMode val="edge"/>
          <c:yMode val="edge"/>
          <c:x val="1.3549595817993655E-2"/>
          <c:y val="2.29885057471264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>
        <c:manualLayout>
          <c:layoutTarget val="inner"/>
          <c:xMode val="edge"/>
          <c:yMode val="edge"/>
          <c:x val="2.2598870056497175E-2"/>
          <c:y val="0.19570544248006735"/>
          <c:w val="0.56845993634462877"/>
          <c:h val="0.77343920060306925"/>
        </c:manualLayout>
      </c:layout>
      <c:pieChart>
        <c:varyColors val="1"/>
        <c:ser>
          <c:idx val="0"/>
          <c:order val="0"/>
          <c:dPt>
            <c:idx val="0"/>
            <c:bubble3D val="0"/>
            <c:explosion val="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252-44AC-BEA0-D04555E5FC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144-4AF3-9FF3-090BE6EF09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144-4AF3-9FF3-090BE6EF0921}"/>
              </c:ext>
            </c:extLst>
          </c:dPt>
          <c:dPt>
            <c:idx val="3"/>
            <c:bubble3D val="0"/>
            <c:explosion val="8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D252-44AC-BEA0-D04555E5FC27}"/>
              </c:ext>
            </c:extLst>
          </c:dPt>
          <c:dPt>
            <c:idx val="4"/>
            <c:bubble3D val="0"/>
            <c:explosion val="15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D252-44AC-BEA0-D04555E5FC2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144-4AF3-9FF3-090BE6EF0921}"/>
              </c:ext>
            </c:extLst>
          </c:dPt>
          <c:dPt>
            <c:idx val="6"/>
            <c:bubble3D val="0"/>
            <c:explosion val="7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252-44AC-BEA0-D04555E5FC27}"/>
              </c:ext>
            </c:extLst>
          </c:dPt>
          <c:dPt>
            <c:idx val="7"/>
            <c:bubble3D val="0"/>
            <c:explosion val="6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252-44AC-BEA0-D04555E5FC2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144-4AF3-9FF3-090BE6EF0921}"/>
              </c:ext>
            </c:extLst>
          </c:dPt>
          <c:dPt>
            <c:idx val="9"/>
            <c:bubble3D val="0"/>
            <c:explosion val="13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D252-44AC-BEA0-D04555E5FC2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CH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'Rich Lotion'!$B$9:$B$18</c:f>
              <c:strCache>
                <c:ptCount val="10"/>
                <c:pt idx="0">
                  <c:v>Airless bottle pamela 30 ml</c:v>
                </c:pt>
                <c:pt idx="1">
                  <c:v>overcap nina transparent</c:v>
                </c:pt>
                <c:pt idx="2">
                  <c:v>Disp Airless pamela snapp on pp colar glossy</c:v>
                </c:pt>
                <c:pt idx="3">
                  <c:v>Shipping </c:v>
                </c:pt>
                <c:pt idx="4">
                  <c:v>Fised Costs</c:v>
                </c:pt>
                <c:pt idx="5">
                  <c:v>Packaging 2</c:v>
                </c:pt>
                <c:pt idx="6">
                  <c:v>Packaging 3</c:v>
                </c:pt>
                <c:pt idx="7">
                  <c:v>Rich-Lotion Raw Material</c:v>
                </c:pt>
                <c:pt idx="8">
                  <c:v>Palett </c:v>
                </c:pt>
                <c:pt idx="9">
                  <c:v>Bottle filling</c:v>
                </c:pt>
              </c:strCache>
            </c:strRef>
          </c:cat>
          <c:val>
            <c:numRef>
              <c:f>'Rich Lotion'!$G$9:$G$18</c:f>
              <c:numCache>
                <c:formatCode>0.00%</c:formatCode>
                <c:ptCount val="10"/>
                <c:pt idx="0">
                  <c:v>4.8294442009991237E-2</c:v>
                </c:pt>
                <c:pt idx="1">
                  <c:v>1.3503288334689176E-2</c:v>
                </c:pt>
                <c:pt idx="2">
                  <c:v>5.8687120746589237E-2</c:v>
                </c:pt>
                <c:pt idx="3">
                  <c:v>2.8463493268913502E-2</c:v>
                </c:pt>
                <c:pt idx="4">
                  <c:v>9.1887862653609778E-2</c:v>
                </c:pt>
                <c:pt idx="5">
                  <c:v>0</c:v>
                </c:pt>
                <c:pt idx="6">
                  <c:v>0</c:v>
                </c:pt>
                <c:pt idx="7">
                  <c:v>0.66387357098138156</c:v>
                </c:pt>
                <c:pt idx="8">
                  <c:v>4.359524587190875E-3</c:v>
                </c:pt>
                <c:pt idx="9">
                  <c:v>9.0930697417634682E-2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2-44AC-BEA0-D04555E5FC2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991727395107112"/>
          <c:y val="1.4795607445621015E-2"/>
          <c:w val="0.35786431423865711"/>
          <c:h val="0.98180710169849461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119062</xdr:colOff>
      <xdr:row>13</xdr:row>
      <xdr:rowOff>123825</xdr:rowOff>
    </xdr:from>
    <xdr:to>
      <xdr:col>15</xdr:col>
      <xdr:colOff>600074</xdr:colOff>
      <xdr:row>37</xdr:row>
      <xdr:rowOff>9525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306B9C9-ABEB-7112-0B9A-1965864467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109538</xdr:colOff>
      <xdr:row>13</xdr:row>
      <xdr:rowOff>28575</xdr:rowOff>
    </xdr:from>
    <xdr:to>
      <xdr:col>15</xdr:col>
      <xdr:colOff>485775</xdr:colOff>
      <xdr:row>35</xdr:row>
      <xdr:rowOff>161925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4F94F67-460F-7527-7905-5409AFBE80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12</xdr:row>
      <xdr:rowOff>95250</xdr:rowOff>
    </xdr:from>
    <xdr:to>
      <xdr:col>15</xdr:col>
      <xdr:colOff>381000</xdr:colOff>
      <xdr:row>36</xdr:row>
      <xdr:rowOff>19050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5F696B3-DAD2-444C-BC52-739BCC80EA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ED3CAC-5E47-4B07-AB97-96C1EDE05B1A}" name="Tableau1" displayName="Tableau1" ref="B7:G34" totalsRowShown="0">
  <autoFilter ref="B7:G34" xr:uid="{A8ED3CAC-5E47-4B07-AB97-96C1EDE05B1A}"/>
  <tableColumns count="6">
    <tableColumn id="1" xr3:uid="{B59782DC-C1B4-492A-9AF6-D0B1B5704A25}" name="Cost type" dataDxfId="29"/>
    <tableColumn id="2" xr3:uid="{5206BC0F-A33D-4D44-BFEC-9ED3257CE783}" name="Variable/fix"/>
    <tableColumn id="7" xr3:uid="{1F53F327-5843-4603-95D8-E20A403330B1}" name="Cost Type2"/>
    <tableColumn id="3" xr3:uid="{1A5D316F-1232-4514-9557-13B81BF90720}" name="Status"/>
    <tableColumn id="4" xr3:uid="{7C895284-2E82-4633-BEAE-5ECEC9935DD8}" name="Currencie"/>
    <tableColumn id="5" xr3:uid="{3BCF9ED0-9AA3-48C2-8CE9-6B4F3F8BCF68}" name="Amount " dataDxfId="28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3EA99E5-77B8-48C9-8F3B-678D8F2A9978}" name="Tableau4" displayName="Tableau4" ref="J21:K34" totalsRowShown="0" headerRowDxfId="27" dataDxfId="26" tableBorderDxfId="25">
  <autoFilter ref="J21:K34" xr:uid="{F3EA99E5-77B8-48C9-8F3B-678D8F2A9978}"/>
  <tableColumns count="2">
    <tableColumn id="1" xr3:uid="{89AA34FF-1579-485B-8B15-C394967B816F}" name="Cost Type" dataDxfId="24"/>
    <tableColumn id="2" xr3:uid="{85F65CB4-068C-4BE2-AF24-FD3B7CA4FA73}" name="Total Amount(IDR)" dataDxfId="23">
      <calculatedColumnFormula>SUMIF(Tableau1[Cost Type2],J22,Tableau1[[Amount ]])</calculatedColumnFormula>
    </tableColumn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DED997D-524F-4FD2-A697-A7958A002F7E}" name="Tableau5" displayName="Tableau5" ref="B8:E18" totalsRowShown="0" headerRowDxfId="22">
  <autoFilter ref="B8:E18" xr:uid="{CDED997D-524F-4FD2-A697-A7958A002F7E}"/>
  <tableColumns count="4">
    <tableColumn id="1" xr3:uid="{89FF1155-90FF-4885-B236-5BA7A5F4B377}" name="Expenses"/>
    <tableColumn id="2" xr3:uid="{F94382E5-18B7-4286-B7A7-2A57E1EF1BAC}" name="Price(Euro)" dataDxfId="21"/>
    <tableColumn id="3" xr3:uid="{1D9CB7A6-C175-4F39-B939-A1A5F6B863CE}" name="Price(IDR)" dataDxfId="20">
      <calculatedColumnFormula>Tableau5[[#This Row],[Price(Euro)]]*$H$2</calculatedColumnFormula>
    </tableColumn>
    <tableColumn id="4" xr3:uid="{5CD46E88-B148-488C-A7D7-55148FB7A902}" name="100ml"/>
  </tableColumns>
  <tableStyleInfo name="TableStyleMedium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E043F60-26B4-4308-AD1A-68BBF1070CC7}" name="Tableau57" displayName="Tableau57" ref="B8:E18" totalsRowShown="0" headerRowDxfId="19">
  <autoFilter ref="B8:E18" xr:uid="{CDED997D-524F-4FD2-A697-A7958A002F7E}"/>
  <tableColumns count="4">
    <tableColumn id="1" xr3:uid="{26FA782D-DB6C-4ACB-A084-B40F2C4DC56F}" name="Expenses"/>
    <tableColumn id="2" xr3:uid="{76E206EB-7CFD-4F21-99D6-EBD50734F541}" name="Price(Euro)" dataDxfId="18"/>
    <tableColumn id="3" xr3:uid="{1588BFCC-2F57-4FB5-B1E0-8F4C97954C6C}" name="Price(IDR)" dataDxfId="17">
      <calculatedColumnFormula>Tableau57[[#This Row],[Price(Euro)]]*$H$2</calculatedColumnFormula>
    </tableColumn>
    <tableColumn id="4" xr3:uid="{688B4E98-04FB-4400-8ADB-9557D2FAD530}" name="100ml"/>
  </tableColumns>
  <tableStyleInfo name="TableStyleMedium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93E245E-3A57-48DA-B3CC-67C5BD548D47}" name="Tableau578" displayName="Tableau578" ref="B8:E18" totalsRowShown="0" headerRowDxfId="16">
  <autoFilter ref="B8:E18" xr:uid="{CDED997D-524F-4FD2-A697-A7958A002F7E}"/>
  <tableColumns count="4">
    <tableColumn id="1" xr3:uid="{4F729E0D-E8DF-43E9-95C3-08284903212D}" name="Expenses"/>
    <tableColumn id="2" xr3:uid="{AD713EB9-513C-446C-BD22-B5B38220981D}" name="Price(Euro)" dataDxfId="15"/>
    <tableColumn id="3" xr3:uid="{8FDD81B9-0DDA-444C-BCD3-9F3545841236}" name="Price(IDR)" dataDxfId="14">
      <calculatedColumnFormula>Tableau578[[#This Row],[Price(Euro)]]*$H$2</calculatedColumnFormula>
    </tableColumn>
    <tableColumn id="4" xr3:uid="{307C0034-A18F-41AA-BB9A-0B5392FDC53C}" name="Price/Bottle" dataDxfId="13">
      <calculatedColumnFormula>E6*H5*H2</calculatedColumnFormula>
    </tableColumn>
  </tableColumns>
  <tableStyleInfo name="TableStyleMedium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68A178-4BC7-48E4-BEB1-C8889049F8FC}" name="Tableau2" displayName="Tableau2" ref="A1:C8" totalsRowShown="0">
  <autoFilter ref="A1:C8" xr:uid="{6168A178-4BC7-48E4-BEB1-C8889049F8FC}"/>
  <tableColumns count="3">
    <tableColumn id="1" xr3:uid="{D7CF0548-AE84-4050-B6B2-2EC9C8D0DA7F}" name="Description"/>
    <tableColumn id="3" xr3:uid="{3E7F4AF5-0613-412F-86C0-8ADC63CD0910}" name="Type"/>
    <tableColumn id="2" xr3:uid="{F4A9CEC4-CD9E-43F8-845F-952207148FB8}" name="Amount(IDR)" dataDxfId="12" dataCellStyle="Millier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C96A2BD-1447-4232-A1A4-9876A94E0AA5}" name="Tableau3" displayName="Tableau3" ref="A1:D9" totalsRowShown="0">
  <autoFilter ref="A1:D9" xr:uid="{4C96A2BD-1447-4232-A1A4-9876A94E0AA5}"/>
  <tableColumns count="4">
    <tableColumn id="1" xr3:uid="{22747E49-02EE-4FA2-834D-56C8767372A9}" name="Type"/>
    <tableColumn id="4" xr3:uid="{47E271B8-B305-48A6-B74D-EB5AF5FE0F90}" name="Status"/>
    <tableColumn id="2" xr3:uid="{B6D1DD69-3B4F-4C2D-A1E1-692FA16C290C}" name="Amount(IDR)" dataDxfId="11" dataCellStyle="Milliers"/>
    <tableColumn id="3" xr3:uid="{F1061EE1-56D3-42AC-8D24-52AAE4DBD8A0}" name="PercentFromTotal" dataDxfId="10">
      <calculatedColumnFormula>Tableau3[[#This Row],[Amount(IDR)]]/$F$7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48AC3D3-1F82-4EC4-A33B-A1776AAAC84A}" name="Tableau8" displayName="Tableau8" ref="A1:D4" totalsRowShown="0">
  <autoFilter ref="A1:D4" xr:uid="{C48AC3D3-1F82-4EC4-A33B-A1776AAAC84A}"/>
  <tableColumns count="4">
    <tableColumn id="1" xr3:uid="{9809B24C-20D9-4F27-BBCD-FE5F2DFD01C6}" name="Currency"/>
    <tableColumn id="2" xr3:uid="{50EA8BAA-A749-4E52-B5AA-0CD92D3F4D30}" name="CHF"/>
    <tableColumn id="3" xr3:uid="{27A553A4-C078-450B-8DBE-E7C987AA1FE9}" name="EUR"/>
    <tableColumn id="4" xr3:uid="{D87E1C28-7AA3-42FE-AB6E-9DFEFD7B71BC}" name="IDR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5E0344F-4C06-496E-A14F-9F94E89D6470}">
  <we:reference id="wa200005271" version="2.4.4.0" store="de-DE" storeType="OMEX"/>
  <we:alternateReferences>
    <we:reference id="wa200005271" version="2.4.4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783B-2F84-4E5F-8E39-047CF06EBD43}">
  <dimension ref="B2:M34"/>
  <sheetViews>
    <sheetView showGridLines="0" workbookViewId="0">
      <selection activeCell="K8" sqref="K8"/>
    </sheetView>
  </sheetViews>
  <sheetFormatPr baseColWidth="10" defaultRowHeight="14.4" x14ac:dyDescent="0.3"/>
  <cols>
    <col min="2" max="2" width="41.109375" customWidth="1"/>
    <col min="3" max="3" width="13.6640625" customWidth="1"/>
    <col min="4" max="4" width="18.5546875" customWidth="1"/>
    <col min="5" max="5" width="15.109375" customWidth="1"/>
    <col min="6" max="6" width="11.6640625" customWidth="1"/>
    <col min="7" max="8" width="21.5546875" customWidth="1"/>
    <col min="10" max="10" width="23.109375" customWidth="1"/>
    <col min="11" max="11" width="19.88671875" style="9" bestFit="1" customWidth="1"/>
    <col min="13" max="13" width="16.6640625" bestFit="1" customWidth="1"/>
  </cols>
  <sheetData>
    <row r="2" spans="2:13" ht="18" x14ac:dyDescent="0.35">
      <c r="B2" s="31" t="s">
        <v>62</v>
      </c>
      <c r="C2" s="28"/>
      <c r="D2" s="28" t="s">
        <v>39</v>
      </c>
      <c r="E2" s="29">
        <v>5333</v>
      </c>
      <c r="F2" s="2"/>
      <c r="G2" s="28" t="s">
        <v>40</v>
      </c>
      <c r="H2" s="37">
        <v>3333</v>
      </c>
      <c r="J2" s="12" t="s">
        <v>45</v>
      </c>
      <c r="K2" s="13">
        <v>17510</v>
      </c>
    </row>
    <row r="3" spans="2:13" x14ac:dyDescent="0.3">
      <c r="B3" s="32"/>
      <c r="C3" s="2"/>
      <c r="D3" s="28" t="s">
        <v>61</v>
      </c>
      <c r="E3" s="30">
        <v>0.11</v>
      </c>
      <c r="F3" s="2"/>
      <c r="G3" s="28" t="s">
        <v>41</v>
      </c>
      <c r="H3" s="37">
        <v>1000</v>
      </c>
    </row>
    <row r="4" spans="2:13" x14ac:dyDescent="0.3">
      <c r="B4" s="2"/>
      <c r="C4" s="2"/>
      <c r="D4" s="2"/>
      <c r="E4" s="2"/>
      <c r="F4" s="2"/>
      <c r="G4" s="28" t="s">
        <v>42</v>
      </c>
      <c r="H4" s="37">
        <v>1000</v>
      </c>
    </row>
    <row r="5" spans="2:13" ht="15.6" x14ac:dyDescent="0.3">
      <c r="B5" s="2"/>
      <c r="C5" s="2"/>
      <c r="D5" s="2"/>
      <c r="E5" s="2"/>
      <c r="F5" s="2"/>
      <c r="G5" s="2"/>
      <c r="H5" s="37"/>
      <c r="J5" s="15" t="s">
        <v>60</v>
      </c>
      <c r="K5" s="15"/>
      <c r="M5" t="s">
        <v>163</v>
      </c>
    </row>
    <row r="6" spans="2:13" x14ac:dyDescent="0.3">
      <c r="B6" s="2"/>
      <c r="C6" s="2"/>
      <c r="D6" s="2"/>
      <c r="E6" s="2"/>
      <c r="F6" s="2"/>
      <c r="G6" s="2"/>
      <c r="H6" s="37"/>
      <c r="J6" s="5"/>
      <c r="K6" s="33" t="s">
        <v>87</v>
      </c>
      <c r="M6" s="7">
        <f>SUMIFS(Tableau1[[Amount ]],Tableau1[Cost Type2],"Shipping",Tableau1[Status],"Paid")</f>
        <v>32323303</v>
      </c>
    </row>
    <row r="7" spans="2:13" x14ac:dyDescent="0.3">
      <c r="B7" t="s">
        <v>1</v>
      </c>
      <c r="C7" t="s">
        <v>2</v>
      </c>
      <c r="D7" t="s">
        <v>48</v>
      </c>
      <c r="E7" t="s">
        <v>20</v>
      </c>
      <c r="F7" t="s">
        <v>3</v>
      </c>
      <c r="G7" s="4" t="s">
        <v>86</v>
      </c>
      <c r="H7" s="4"/>
      <c r="J7" s="19" t="s">
        <v>34</v>
      </c>
      <c r="K7" s="20">
        <f>SUMIF(Tableau1[Variable/fix],"fix",Tableau1[[Amount ]])</f>
        <v>192500000</v>
      </c>
    </row>
    <row r="8" spans="2:13" x14ac:dyDescent="0.3">
      <c r="B8" s="8" t="s">
        <v>4</v>
      </c>
      <c r="C8" t="s">
        <v>24</v>
      </c>
      <c r="D8" t="s">
        <v>52</v>
      </c>
      <c r="E8" t="s">
        <v>21</v>
      </c>
      <c r="F8" t="s">
        <v>25</v>
      </c>
      <c r="G8" s="40">
        <v>519829056</v>
      </c>
      <c r="H8" s="7"/>
      <c r="J8" s="19" t="s">
        <v>35</v>
      </c>
      <c r="K8" s="20">
        <f>SUMIF(Tableau1[Variable/fix],"Variable",Tableau1[[Amount ]])</f>
        <v>1438036819</v>
      </c>
    </row>
    <row r="9" spans="2:13" x14ac:dyDescent="0.3">
      <c r="B9" s="8" t="s">
        <v>5</v>
      </c>
      <c r="C9" t="s">
        <v>24</v>
      </c>
      <c r="D9" t="s">
        <v>49</v>
      </c>
      <c r="E9" t="s">
        <v>21</v>
      </c>
      <c r="F9" t="s">
        <v>25</v>
      </c>
      <c r="G9" s="40">
        <v>6122484</v>
      </c>
      <c r="H9" s="7"/>
      <c r="J9" s="19" t="s">
        <v>36</v>
      </c>
      <c r="K9" s="20">
        <f>SUM(K7:K8)</f>
        <v>1630536819</v>
      </c>
    </row>
    <row r="10" spans="2:13" x14ac:dyDescent="0.3">
      <c r="B10" s="8" t="s">
        <v>6</v>
      </c>
      <c r="C10" t="s">
        <v>24</v>
      </c>
      <c r="D10" t="s">
        <v>29</v>
      </c>
      <c r="E10" t="s">
        <v>21</v>
      </c>
      <c r="F10" t="s">
        <v>25</v>
      </c>
      <c r="G10" s="40">
        <v>150435540</v>
      </c>
      <c r="H10" s="7"/>
    </row>
    <row r="11" spans="2:13" x14ac:dyDescent="0.3">
      <c r="B11" s="8" t="s">
        <v>7</v>
      </c>
      <c r="C11" t="s">
        <v>24</v>
      </c>
      <c r="D11" t="s">
        <v>49</v>
      </c>
      <c r="E11" t="s">
        <v>21</v>
      </c>
      <c r="F11" t="s">
        <v>25</v>
      </c>
      <c r="G11" s="40">
        <v>6840000</v>
      </c>
      <c r="H11" s="7"/>
      <c r="J11" s="21" t="s">
        <v>37</v>
      </c>
      <c r="K11" s="22">
        <f>SUMIF(Tableau1[Status],"Paid",Tableau1[[Amount ]])</f>
        <v>986361819</v>
      </c>
    </row>
    <row r="12" spans="2:13" x14ac:dyDescent="0.3">
      <c r="B12" s="8" t="s">
        <v>8</v>
      </c>
      <c r="C12" t="s">
        <v>24</v>
      </c>
      <c r="D12" t="s">
        <v>51</v>
      </c>
      <c r="E12" t="s">
        <v>21</v>
      </c>
      <c r="F12" t="s">
        <v>25</v>
      </c>
      <c r="G12" s="40">
        <v>12753830</v>
      </c>
      <c r="H12" s="7"/>
      <c r="J12" s="21" t="s">
        <v>38</v>
      </c>
      <c r="K12" s="22">
        <f>SUMIF(Tableau1[Status],"Coming",Tableau1[[Amount ]])</f>
        <v>644175000</v>
      </c>
    </row>
    <row r="13" spans="2:13" x14ac:dyDescent="0.3">
      <c r="B13" s="8" t="s">
        <v>8</v>
      </c>
      <c r="C13" t="s">
        <v>24</v>
      </c>
      <c r="D13" t="s">
        <v>51</v>
      </c>
      <c r="E13" t="s">
        <v>21</v>
      </c>
      <c r="F13" t="s">
        <v>25</v>
      </c>
      <c r="G13" s="40">
        <v>13006957.5</v>
      </c>
      <c r="H13" s="7"/>
    </row>
    <row r="14" spans="2:13" x14ac:dyDescent="0.3">
      <c r="B14" s="8" t="s">
        <v>8</v>
      </c>
      <c r="C14" t="s">
        <v>24</v>
      </c>
      <c r="D14" t="s">
        <v>51</v>
      </c>
      <c r="E14" t="s">
        <v>21</v>
      </c>
      <c r="F14" t="s">
        <v>25</v>
      </c>
      <c r="G14" s="40">
        <v>12558920</v>
      </c>
      <c r="H14" s="7"/>
    </row>
    <row r="15" spans="2:13" ht="15.6" x14ac:dyDescent="0.3">
      <c r="B15" s="8" t="s">
        <v>8</v>
      </c>
      <c r="C15" t="s">
        <v>24</v>
      </c>
      <c r="D15" t="s">
        <v>51</v>
      </c>
      <c r="E15" t="s">
        <v>21</v>
      </c>
      <c r="F15" t="s">
        <v>25</v>
      </c>
      <c r="G15" s="40">
        <v>13114815</v>
      </c>
      <c r="H15" s="7"/>
      <c r="J15" s="16" t="s">
        <v>46</v>
      </c>
    </row>
    <row r="16" spans="2:13" x14ac:dyDescent="0.3">
      <c r="B16" s="8" t="s">
        <v>8</v>
      </c>
      <c r="C16" t="s">
        <v>24</v>
      </c>
      <c r="D16" t="s">
        <v>51</v>
      </c>
      <c r="E16" t="s">
        <v>21</v>
      </c>
      <c r="F16" t="s">
        <v>25</v>
      </c>
      <c r="G16" s="40">
        <v>12589397.5</v>
      </c>
      <c r="H16" s="7"/>
      <c r="J16" s="27" t="s">
        <v>43</v>
      </c>
      <c r="K16" s="14">
        <f>K9/$E$2</f>
        <v>305744.76261016313</v>
      </c>
    </row>
    <row r="17" spans="2:11" x14ac:dyDescent="0.3">
      <c r="B17" s="8" t="s">
        <v>9</v>
      </c>
      <c r="C17" t="s">
        <v>24</v>
      </c>
      <c r="D17" t="s">
        <v>49</v>
      </c>
      <c r="E17" t="s">
        <v>21</v>
      </c>
      <c r="F17" t="s">
        <v>25</v>
      </c>
      <c r="G17" s="40">
        <v>9831899</v>
      </c>
      <c r="H17" s="7"/>
      <c r="J17" s="27" t="s">
        <v>44</v>
      </c>
      <c r="K17" s="26">
        <f>K16/K2</f>
        <v>17.461151491157231</v>
      </c>
    </row>
    <row r="18" spans="2:11" x14ac:dyDescent="0.3">
      <c r="B18" s="8" t="s">
        <v>10</v>
      </c>
      <c r="C18" t="s">
        <v>24</v>
      </c>
      <c r="D18" t="s">
        <v>49</v>
      </c>
      <c r="E18" t="s">
        <v>21</v>
      </c>
      <c r="F18" t="s">
        <v>25</v>
      </c>
      <c r="G18" s="40">
        <v>9528920</v>
      </c>
      <c r="H18" s="7"/>
    </row>
    <row r="19" spans="2:11" x14ac:dyDescent="0.3">
      <c r="B19" s="8" t="s">
        <v>11</v>
      </c>
      <c r="C19" t="s">
        <v>24</v>
      </c>
      <c r="D19" t="s">
        <v>88</v>
      </c>
      <c r="E19" t="s">
        <v>21</v>
      </c>
      <c r="F19" t="s">
        <v>25</v>
      </c>
      <c r="G19" s="40">
        <v>3500000</v>
      </c>
      <c r="H19" s="7"/>
    </row>
    <row r="20" spans="2:11" ht="15.6" x14ac:dyDescent="0.3">
      <c r="B20" s="8" t="s">
        <v>12</v>
      </c>
      <c r="C20" t="s">
        <v>23</v>
      </c>
      <c r="D20" t="s">
        <v>56</v>
      </c>
      <c r="E20" t="s">
        <v>21</v>
      </c>
      <c r="F20" t="s">
        <v>25</v>
      </c>
      <c r="G20" s="40">
        <v>2500000</v>
      </c>
      <c r="H20" s="7"/>
      <c r="J20" s="17" t="s">
        <v>59</v>
      </c>
      <c r="K20" s="18"/>
    </row>
    <row r="21" spans="2:11" x14ac:dyDescent="0.3">
      <c r="B21" s="8" t="s">
        <v>13</v>
      </c>
      <c r="C21" t="s">
        <v>24</v>
      </c>
      <c r="D21" t="s">
        <v>88</v>
      </c>
      <c r="E21" t="s">
        <v>21</v>
      </c>
      <c r="F21" t="s">
        <v>25</v>
      </c>
      <c r="G21" s="40">
        <v>1750000</v>
      </c>
      <c r="H21" s="7"/>
      <c r="J21" s="23" t="s">
        <v>47</v>
      </c>
      <c r="K21" s="24" t="s">
        <v>87</v>
      </c>
    </row>
    <row r="22" spans="2:11" x14ac:dyDescent="0.3">
      <c r="B22" s="8" t="s">
        <v>8</v>
      </c>
      <c r="C22" t="s">
        <v>24</v>
      </c>
      <c r="D22" t="s">
        <v>51</v>
      </c>
      <c r="E22" t="s">
        <v>21</v>
      </c>
      <c r="F22" t="s">
        <v>25</v>
      </c>
      <c r="G22" s="40">
        <v>12000000</v>
      </c>
      <c r="H22" s="7"/>
      <c r="J22" s="8" t="s">
        <v>57</v>
      </c>
      <c r="K22" s="9">
        <f>SUMIF(Tableau1[Cost Type2],J22,Tableau1[[Amount ]])</f>
        <v>30000000</v>
      </c>
    </row>
    <row r="23" spans="2:11" x14ac:dyDescent="0.3">
      <c r="B23" s="8" t="s">
        <v>14</v>
      </c>
      <c r="C23" t="s">
        <v>24</v>
      </c>
      <c r="D23" t="s">
        <v>88</v>
      </c>
      <c r="E23" t="s">
        <v>21</v>
      </c>
      <c r="F23" t="s">
        <v>25</v>
      </c>
      <c r="G23" s="40">
        <v>50000000</v>
      </c>
      <c r="H23" s="7"/>
      <c r="J23" s="8" t="s">
        <v>26</v>
      </c>
      <c r="K23" s="9">
        <f>SUMIF(Tableau1[Cost Type2],J23,Tableau1[[Amount ]])</f>
        <v>295000000</v>
      </c>
    </row>
    <row r="24" spans="2:11" x14ac:dyDescent="0.3">
      <c r="B24" s="8" t="s">
        <v>15</v>
      </c>
      <c r="C24" t="s">
        <v>24</v>
      </c>
      <c r="D24" t="s">
        <v>54</v>
      </c>
      <c r="E24" t="s">
        <v>21</v>
      </c>
      <c r="F24" t="s">
        <v>25</v>
      </c>
      <c r="G24" s="40">
        <v>50000000</v>
      </c>
      <c r="H24" s="7"/>
      <c r="J24" s="8" t="s">
        <v>29</v>
      </c>
      <c r="K24" s="9">
        <f>SUMIF(Tableau1[Cost Type2],J24,Tableau1[[Amount ]])</f>
        <v>150435540</v>
      </c>
    </row>
    <row r="25" spans="2:11" x14ac:dyDescent="0.3">
      <c r="B25" s="8" t="s">
        <v>16</v>
      </c>
      <c r="C25" t="s">
        <v>24</v>
      </c>
      <c r="D25" t="s">
        <v>54</v>
      </c>
      <c r="E25" t="s">
        <v>21</v>
      </c>
      <c r="F25" t="s">
        <v>25</v>
      </c>
      <c r="G25" s="40">
        <v>50000000</v>
      </c>
      <c r="H25" s="7"/>
      <c r="J25" s="8" t="s">
        <v>54</v>
      </c>
      <c r="K25" s="9">
        <f>SUMIF(Tableau1[Cost Type2],J25,Tableau1[[Amount ]])</f>
        <v>189175000</v>
      </c>
    </row>
    <row r="26" spans="2:11" x14ac:dyDescent="0.3">
      <c r="B26" s="8" t="s">
        <v>17</v>
      </c>
      <c r="C26" t="s">
        <v>23</v>
      </c>
      <c r="D26" t="s">
        <v>56</v>
      </c>
      <c r="E26" t="s">
        <v>21</v>
      </c>
      <c r="F26" t="s">
        <v>25</v>
      </c>
      <c r="G26" s="40">
        <v>50000000</v>
      </c>
      <c r="H26" s="7"/>
      <c r="J26" s="8" t="s">
        <v>52</v>
      </c>
      <c r="K26" s="9">
        <f>SUMIF(Tableau1[Cost Type2],J26,Tableau1[[Amount ]])</f>
        <v>519829056</v>
      </c>
    </row>
    <row r="27" spans="2:11" x14ac:dyDescent="0.3">
      <c r="B27" s="8" t="s">
        <v>18</v>
      </c>
      <c r="C27" t="s">
        <v>23</v>
      </c>
      <c r="D27" t="s">
        <v>50</v>
      </c>
      <c r="E27" t="s">
        <v>22</v>
      </c>
      <c r="F27" t="s">
        <v>25</v>
      </c>
      <c r="G27" s="41">
        <v>50000000</v>
      </c>
      <c r="H27" s="6"/>
      <c r="J27" s="8" t="s">
        <v>56</v>
      </c>
      <c r="K27" s="9">
        <f>SUMIF(Tableau1[Cost Type2],J27,Tableau1[[Amount ]])</f>
        <v>52500000</v>
      </c>
    </row>
    <row r="28" spans="2:11" x14ac:dyDescent="0.3">
      <c r="B28" s="8" t="s">
        <v>19</v>
      </c>
      <c r="C28" t="s">
        <v>23</v>
      </c>
      <c r="D28" t="s">
        <v>55</v>
      </c>
      <c r="E28" t="s">
        <v>22</v>
      </c>
      <c r="F28" t="s">
        <v>25</v>
      </c>
      <c r="G28" s="41">
        <v>90000000</v>
      </c>
      <c r="H28" s="6"/>
      <c r="J28" s="8" t="s">
        <v>50</v>
      </c>
      <c r="K28" s="9">
        <f>SUMIF(Tableau1[Cost Type2],J28,Tableau1[[Amount ]])</f>
        <v>50000000</v>
      </c>
    </row>
    <row r="29" spans="2:11" x14ac:dyDescent="0.3">
      <c r="B29" s="8" t="s">
        <v>27</v>
      </c>
      <c r="C29" t="s">
        <v>24</v>
      </c>
      <c r="D29" t="s">
        <v>26</v>
      </c>
      <c r="E29" t="s">
        <v>22</v>
      </c>
      <c r="F29" t="s">
        <v>25</v>
      </c>
      <c r="G29" s="40">
        <v>55000000</v>
      </c>
      <c r="H29" s="7"/>
      <c r="J29" s="8" t="s">
        <v>55</v>
      </c>
      <c r="K29" s="9">
        <f>SUMIF(Tableau1[Cost Type2],J29,Tableau1[[Amount ]])</f>
        <v>90000000</v>
      </c>
    </row>
    <row r="30" spans="2:11" x14ac:dyDescent="0.3">
      <c r="B30" s="8" t="s">
        <v>28</v>
      </c>
      <c r="C30" t="s">
        <v>24</v>
      </c>
      <c r="D30" t="s">
        <v>26</v>
      </c>
      <c r="E30" t="s">
        <v>22</v>
      </c>
      <c r="F30" t="s">
        <v>25</v>
      </c>
      <c r="G30" s="40">
        <v>240000000</v>
      </c>
      <c r="H30" s="7"/>
      <c r="J30" s="8" t="s">
        <v>49</v>
      </c>
      <c r="K30" s="9">
        <f>SUMIF(Tableau1[Cost Type2],J30,Tableau1[[Amount ]])</f>
        <v>32323303</v>
      </c>
    </row>
    <row r="31" spans="2:11" x14ac:dyDescent="0.3">
      <c r="B31" s="8" t="s">
        <v>30</v>
      </c>
      <c r="C31" t="s">
        <v>24</v>
      </c>
      <c r="D31" t="s">
        <v>57</v>
      </c>
      <c r="E31" t="s">
        <v>22</v>
      </c>
      <c r="F31" t="s">
        <v>25</v>
      </c>
      <c r="G31" s="40">
        <v>30000000</v>
      </c>
      <c r="H31" s="7"/>
      <c r="J31" s="8" t="s">
        <v>51</v>
      </c>
      <c r="K31" s="9">
        <f>SUMIF(Tableau1[Cost Type2],J31,Tableau1[[Amount ]])</f>
        <v>76023920</v>
      </c>
    </row>
    <row r="32" spans="2:11" x14ac:dyDescent="0.3">
      <c r="B32" s="8" t="s">
        <v>31</v>
      </c>
      <c r="C32" t="s">
        <v>24</v>
      </c>
      <c r="D32" t="s">
        <v>58</v>
      </c>
      <c r="E32" t="s">
        <v>22</v>
      </c>
      <c r="F32" t="s">
        <v>25</v>
      </c>
      <c r="G32" s="40">
        <v>90000000</v>
      </c>
      <c r="H32" s="7"/>
      <c r="J32" s="8" t="s">
        <v>53</v>
      </c>
      <c r="K32" s="9">
        <f>SUMIF(Tableau1[Cost Type2],J32,Tableau1[[Amount ]])</f>
        <v>0</v>
      </c>
    </row>
    <row r="33" spans="2:11" x14ac:dyDescent="0.3">
      <c r="B33" s="8" t="s">
        <v>32</v>
      </c>
      <c r="C33" t="s">
        <v>24</v>
      </c>
      <c r="D33" t="s">
        <v>57</v>
      </c>
      <c r="E33" t="s">
        <v>22</v>
      </c>
      <c r="F33" t="s">
        <v>25</v>
      </c>
      <c r="G33" s="40">
        <v>0</v>
      </c>
      <c r="H33" s="7"/>
      <c r="J33" s="8" t="s">
        <v>58</v>
      </c>
      <c r="K33" s="9">
        <f>SUMIF(Tableau1[Cost Type2],J33,Tableau1[[Amount ]])</f>
        <v>90000000</v>
      </c>
    </row>
    <row r="34" spans="2:11" x14ac:dyDescent="0.3">
      <c r="B34" s="8" t="s">
        <v>33</v>
      </c>
      <c r="C34" t="s">
        <v>24</v>
      </c>
      <c r="D34" t="s">
        <v>54</v>
      </c>
      <c r="E34" t="s">
        <v>22</v>
      </c>
      <c r="F34" t="s">
        <v>25</v>
      </c>
      <c r="G34" s="40">
        <v>89175000</v>
      </c>
      <c r="H34" s="7"/>
      <c r="J34" s="8" t="s">
        <v>88</v>
      </c>
      <c r="K34" s="9">
        <f>SUMIF(Tableau1[Cost Type2],J34,Tableau1[[Amount ]])</f>
        <v>55250000</v>
      </c>
    </row>
  </sheetData>
  <dataValidations count="4">
    <dataValidation type="list" allowBlank="1" showInputMessage="1" showErrorMessage="1" sqref="C8:C34" xr:uid="{4805BA3E-C3D5-4072-9D84-D37AEA78D9A7}">
      <formula1>"Variable, fix"</formula1>
    </dataValidation>
    <dataValidation type="list" allowBlank="1" showInputMessage="1" showErrorMessage="1" sqref="F8:F34" xr:uid="{B9D04333-032C-4590-A927-C9F55301CBFD}">
      <formula1>"IDR, CHF, EURO, USD"</formula1>
    </dataValidation>
    <dataValidation type="list" allowBlank="1" showInputMessage="1" showErrorMessage="1" sqref="E8:E34" xr:uid="{BC918788-9EA0-4F16-9D8E-DBCFE03409C7}">
      <formula1>"Paid, Coming"</formula1>
    </dataValidation>
    <dataValidation type="list" allowBlank="1" showInputMessage="1" showErrorMessage="1" sqref="D8:D34" xr:uid="{5E960E4F-EA3A-4316-8F5D-F1DE502757ED}">
      <formula1>CostType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57362-AF2C-48EA-A84B-1E4F8C1C5A24}">
  <dimension ref="B1:N37"/>
  <sheetViews>
    <sheetView showGridLines="0" workbookViewId="0">
      <selection activeCell="O5" sqref="O5"/>
    </sheetView>
  </sheetViews>
  <sheetFormatPr baseColWidth="10" defaultRowHeight="14.4" x14ac:dyDescent="0.3"/>
  <cols>
    <col min="2" max="2" width="41.5546875" customWidth="1"/>
    <col min="3" max="3" width="31.5546875" customWidth="1"/>
    <col min="4" max="4" width="17.33203125" customWidth="1"/>
    <col min="5" max="5" width="14" bestFit="1" customWidth="1"/>
    <col min="6" max="6" width="17.44140625" customWidth="1"/>
    <col min="7" max="7" width="25.33203125" bestFit="1" customWidth="1"/>
    <col min="10" max="10" width="6.33203125" customWidth="1"/>
    <col min="11" max="11" width="20" customWidth="1"/>
    <col min="12" max="12" width="9.109375" customWidth="1"/>
  </cols>
  <sheetData>
    <row r="1" spans="2:14" ht="15.6" x14ac:dyDescent="0.3">
      <c r="C1" s="8" t="s">
        <v>133</v>
      </c>
      <c r="D1" s="91">
        <f>SocialMedia+Location</f>
        <v>174000000</v>
      </c>
      <c r="E1" s="95">
        <v>0.6</v>
      </c>
      <c r="F1" s="12"/>
      <c r="L1" s="127" t="s">
        <v>93</v>
      </c>
      <c r="M1" s="121" t="s">
        <v>94</v>
      </c>
    </row>
    <row r="2" spans="2:14" ht="15.6" x14ac:dyDescent="0.3">
      <c r="B2" s="36" t="s">
        <v>82</v>
      </c>
      <c r="C2" s="8" t="s">
        <v>165</v>
      </c>
      <c r="D2" s="92">
        <f>SUMIF(Tableau3[Status],"1",Tableau3[Amount(IDR)])</f>
        <v>32339295</v>
      </c>
      <c r="E2" s="100">
        <v>1</v>
      </c>
      <c r="F2" s="7"/>
      <c r="G2" s="8" t="s">
        <v>67</v>
      </c>
      <c r="H2" s="109">
        <f>EUR_IDR</f>
        <v>17122</v>
      </c>
      <c r="I2" s="35">
        <v>45383</v>
      </c>
      <c r="K2" s="113" t="s">
        <v>91</v>
      </c>
      <c r="L2" s="122">
        <v>40</v>
      </c>
      <c r="M2" s="123">
        <v>40</v>
      </c>
    </row>
    <row r="3" spans="2:14" ht="15.6" x14ac:dyDescent="0.3">
      <c r="C3" s="8" t="s">
        <v>66</v>
      </c>
      <c r="D3" s="7">
        <f>E3*H2</f>
        <v>3467205</v>
      </c>
      <c r="E3" s="103">
        <v>202.5</v>
      </c>
      <c r="F3" s="7"/>
      <c r="G3" s="8" t="s">
        <v>128</v>
      </c>
      <c r="H3" s="88">
        <v>0.12576000000000001</v>
      </c>
      <c r="K3" s="113" t="s">
        <v>92</v>
      </c>
      <c r="L3" s="124">
        <v>69.900000000000006</v>
      </c>
      <c r="M3" s="125">
        <v>466</v>
      </c>
    </row>
    <row r="4" spans="2:14" ht="15.6" x14ac:dyDescent="0.3">
      <c r="C4" s="8" t="s">
        <v>120</v>
      </c>
      <c r="D4" s="94">
        <v>58000</v>
      </c>
      <c r="E4" s="12" t="s">
        <v>94</v>
      </c>
      <c r="G4" s="8" t="s">
        <v>129</v>
      </c>
      <c r="H4" s="88">
        <v>0.54657</v>
      </c>
      <c r="K4" s="113" t="s">
        <v>166</v>
      </c>
      <c r="L4" s="126">
        <f>L3*(100-L2)/100</f>
        <v>41.94</v>
      </c>
      <c r="M4" s="1"/>
    </row>
    <row r="5" spans="2:14" x14ac:dyDescent="0.3">
      <c r="C5" s="8" t="s">
        <v>114</v>
      </c>
      <c r="D5" s="11">
        <f>D4/15</f>
        <v>3866.6666666666665</v>
      </c>
      <c r="E5" s="12">
        <f>D4/100</f>
        <v>580</v>
      </c>
      <c r="G5" s="8" t="s">
        <v>136</v>
      </c>
      <c r="H5" s="88">
        <v>0.43314000000000002</v>
      </c>
    </row>
    <row r="6" spans="2:14" x14ac:dyDescent="0.3">
      <c r="C6" s="8" t="s">
        <v>116</v>
      </c>
      <c r="D6" s="11">
        <f>M7</f>
        <v>2706.6666666666661</v>
      </c>
      <c r="E6" s="102">
        <f>N7</f>
        <v>406</v>
      </c>
      <c r="G6" s="8" t="s">
        <v>85</v>
      </c>
      <c r="H6" s="88">
        <v>14500</v>
      </c>
      <c r="L6" t="s">
        <v>110</v>
      </c>
      <c r="M6" s="4" t="s">
        <v>122</v>
      </c>
      <c r="N6" s="4" t="s">
        <v>118</v>
      </c>
    </row>
    <row r="7" spans="2:14" x14ac:dyDescent="0.3">
      <c r="B7" s="8" t="s">
        <v>72</v>
      </c>
      <c r="C7" s="8" t="s">
        <v>131</v>
      </c>
      <c r="D7" s="71">
        <f>D5+'Rich Lotion'!D5+Emulsion!D5</f>
        <v>7499.9999999999991</v>
      </c>
      <c r="E7" s="8"/>
      <c r="G7" s="8" t="s">
        <v>79</v>
      </c>
      <c r="H7" s="110">
        <f>CHF_IDR</f>
        <v>17510</v>
      </c>
      <c r="I7" s="35">
        <v>45383</v>
      </c>
      <c r="K7" t="s">
        <v>108</v>
      </c>
      <c r="L7" s="47">
        <v>30</v>
      </c>
      <c r="M7" s="45">
        <f>D5*(100-L7)/100</f>
        <v>2706.6666666666661</v>
      </c>
      <c r="N7" s="45">
        <f>E5*(100-L7)/100</f>
        <v>406</v>
      </c>
    </row>
    <row r="8" spans="2:14" x14ac:dyDescent="0.3">
      <c r="B8" s="8" t="s">
        <v>63</v>
      </c>
      <c r="C8" s="8" t="s">
        <v>64</v>
      </c>
      <c r="D8" s="8" t="s">
        <v>65</v>
      </c>
      <c r="E8" s="8" t="s">
        <v>94</v>
      </c>
      <c r="F8" s="8"/>
      <c r="G8" s="38" t="s">
        <v>89</v>
      </c>
      <c r="K8" s="8" t="s">
        <v>125</v>
      </c>
      <c r="L8" s="93">
        <v>13411.34</v>
      </c>
      <c r="M8" s="43" t="s">
        <v>126</v>
      </c>
      <c r="N8" s="46">
        <f>L8*(100-L9)/100</f>
        <v>13411.34</v>
      </c>
    </row>
    <row r="9" spans="2:14" x14ac:dyDescent="0.3">
      <c r="B9" t="s">
        <v>68</v>
      </c>
      <c r="C9" s="7">
        <f>D6*H5</f>
        <v>1172.3655999999999</v>
      </c>
      <c r="D9" s="7">
        <f>Tableau5[[#This Row],[Price(Euro)]]*H2</f>
        <v>20073243.803199999</v>
      </c>
      <c r="E9" s="7">
        <f>E6*H5*H2</f>
        <v>3010986.5704800002</v>
      </c>
      <c r="G9" s="39">
        <f>Tableau5[[#This Row],[Price(IDR)]]/SUM(Tableau5[Price(IDR)])</f>
        <v>5.1238694652547066E-2</v>
      </c>
      <c r="K9" s="8" t="s">
        <v>127</v>
      </c>
      <c r="L9" s="47">
        <v>0</v>
      </c>
      <c r="N9" s="4"/>
    </row>
    <row r="10" spans="2:14" x14ac:dyDescent="0.3">
      <c r="B10" t="s">
        <v>69</v>
      </c>
      <c r="C10" s="7">
        <f>D6*H3</f>
        <v>340.39039999999994</v>
      </c>
      <c r="D10" s="7">
        <f>Tableau5[[#This Row],[Price(Euro)]]*H2</f>
        <v>5828164.4287999989</v>
      </c>
      <c r="E10" s="7">
        <f>E6*H3*H2</f>
        <v>874224.6643200001</v>
      </c>
      <c r="G10" s="39">
        <f>Tableau5[[#This Row],[Price(IDR)]]/SUM(Tableau5[Price(IDR)])</f>
        <v>1.4876894859639651E-2</v>
      </c>
    </row>
    <row r="11" spans="2:14" x14ac:dyDescent="0.3">
      <c r="B11" t="s">
        <v>71</v>
      </c>
      <c r="C11" s="7">
        <f>D6*H4</f>
        <v>1479.3827999999996</v>
      </c>
      <c r="D11" s="7">
        <f>Tableau5[[#This Row],[Price(Euro)]]*H2</f>
        <v>25329992.301599994</v>
      </c>
      <c r="E11" s="7">
        <f>E6*H4*H2</f>
        <v>3799498.8452400002</v>
      </c>
      <c r="G11" s="39">
        <f>Tableau5[[#This Row],[Price(IDR)]]/SUM(Tableau5[Price(IDR)])</f>
        <v>6.4657000822465366E-2</v>
      </c>
    </row>
    <row r="12" spans="2:14" x14ac:dyDescent="0.3">
      <c r="B12" t="s">
        <v>73</v>
      </c>
      <c r="C12" s="7"/>
      <c r="D12" s="7">
        <f>D2*(D5/D7)*E2</f>
        <v>16672703.199999999</v>
      </c>
      <c r="G12" s="39">
        <f>Tableau5[[#This Row],[Price(IDR)]]/SUM(Tableau5[Price(IDR)])</f>
        <v>4.2558520021619882E-2</v>
      </c>
    </row>
    <row r="13" spans="2:14" x14ac:dyDescent="0.3">
      <c r="B13" t="s">
        <v>135</v>
      </c>
      <c r="C13" s="7"/>
      <c r="D13" s="7">
        <f>D1*D5/D7*E1</f>
        <v>53824000</v>
      </c>
      <c r="G13" s="39">
        <f>Tableau5[[#This Row],[Price(IDR)]]/SUM(Tableau5[Price(IDR)])</f>
        <v>0.13739042518574124</v>
      </c>
    </row>
    <row r="14" spans="2:14" x14ac:dyDescent="0.3">
      <c r="B14" t="s">
        <v>74</v>
      </c>
      <c r="C14" s="7"/>
      <c r="D14" s="7">
        <v>0</v>
      </c>
      <c r="G14" s="39">
        <f>Tableau5[[#This Row],[Price(IDR)]]/SUM(Tableau5[Price(IDR)])</f>
        <v>0</v>
      </c>
    </row>
    <row r="15" spans="2:14" x14ac:dyDescent="0.3">
      <c r="B15" t="s">
        <v>75</v>
      </c>
      <c r="C15" s="7"/>
      <c r="D15" s="7">
        <v>0</v>
      </c>
      <c r="G15" s="39">
        <f>Tableau5[[#This Row],[Price(IDR)]]/SUM(Tableau5[Price(IDR)])</f>
        <v>0</v>
      </c>
    </row>
    <row r="16" spans="2:14" x14ac:dyDescent="0.3">
      <c r="B16" t="s">
        <v>76</v>
      </c>
      <c r="C16" s="7">
        <f>N8</f>
        <v>13411.34</v>
      </c>
      <c r="D16" s="7">
        <f>Tableau5[[#This Row],[Price(Euro)]]*H2</f>
        <v>229628963.47999999</v>
      </c>
      <c r="F16" s="83"/>
      <c r="G16" s="39">
        <f>Tableau5[[#This Row],[Price(IDR)]]/SUM(Tableau5[Price(IDR)])</f>
        <v>0.5861478323327558</v>
      </c>
    </row>
    <row r="17" spans="2:7" x14ac:dyDescent="0.3">
      <c r="B17" t="s">
        <v>77</v>
      </c>
      <c r="C17" s="7">
        <f>E3/3</f>
        <v>67.5</v>
      </c>
      <c r="D17" s="7">
        <f>Tableau5[[#This Row],[Price(Euro)]]*$H$2</f>
        <v>1155735</v>
      </c>
      <c r="G17" s="39">
        <f>Tableau5[[#This Row],[Price(IDR)]]/SUM(Tableau5[Price(IDR)])</f>
        <v>2.9501137606280218E-3</v>
      </c>
    </row>
    <row r="18" spans="2:7" x14ac:dyDescent="0.3">
      <c r="B18" t="s">
        <v>78</v>
      </c>
      <c r="C18" s="7"/>
      <c r="D18" s="7">
        <f>H6*D6</f>
        <v>39246666.666666657</v>
      </c>
      <c r="E18" s="7">
        <f>H6*E6</f>
        <v>5887000</v>
      </c>
      <c r="G18" s="39">
        <f>Tableau5[[#This Row],[Price(IDR)]]/SUM(Tableau5[Price(IDR)])</f>
        <v>0.10018051836460296</v>
      </c>
    </row>
    <row r="19" spans="2:7" x14ac:dyDescent="0.3">
      <c r="C19" s="7"/>
      <c r="D19" s="111" t="s">
        <v>25</v>
      </c>
      <c r="E19" s="112" t="s">
        <v>80</v>
      </c>
      <c r="F19" s="112" t="s">
        <v>90</v>
      </c>
    </row>
    <row r="20" spans="2:7" ht="18" x14ac:dyDescent="0.35">
      <c r="B20" s="8"/>
      <c r="C20" s="25" t="s">
        <v>103</v>
      </c>
      <c r="D20" s="74">
        <f>SUM(Tableau5[Price(IDR)])/D6</f>
        <v>144738.7200296552</v>
      </c>
      <c r="E20" s="34">
        <f>D20/H7</f>
        <v>8.2660605385297092</v>
      </c>
      <c r="F20" s="84">
        <f>D20/H2</f>
        <v>8.4533769436780286</v>
      </c>
    </row>
    <row r="21" spans="2:7" ht="18" x14ac:dyDescent="0.35">
      <c r="B21" s="8"/>
      <c r="C21" s="25" t="s">
        <v>104</v>
      </c>
      <c r="D21" s="74">
        <f>SUM(E9:E11,D12:D17,E18)/E6</f>
        <v>775500.27527103445</v>
      </c>
      <c r="E21" s="34">
        <f>D21/H7</f>
        <v>44.288993447803222</v>
      </c>
      <c r="F21" s="84">
        <f>D21/H2</f>
        <v>45.292622081008901</v>
      </c>
    </row>
    <row r="22" spans="2:7" x14ac:dyDescent="0.3">
      <c r="C22" s="7"/>
      <c r="D22" s="7"/>
    </row>
    <row r="23" spans="2:7" x14ac:dyDescent="0.3">
      <c r="C23" s="48" t="s">
        <v>92</v>
      </c>
      <c r="D23" s="48" t="s">
        <v>91</v>
      </c>
      <c r="E23" s="10" t="s">
        <v>150</v>
      </c>
      <c r="F23" s="10" t="s">
        <v>153</v>
      </c>
    </row>
    <row r="24" spans="2:7" x14ac:dyDescent="0.3">
      <c r="B24" s="128" t="s">
        <v>0</v>
      </c>
      <c r="C24" s="49">
        <f>$L$3</f>
        <v>69.900000000000006</v>
      </c>
      <c r="D24" s="50">
        <f>$L$2</f>
        <v>40</v>
      </c>
      <c r="E24" s="51">
        <v>100</v>
      </c>
      <c r="F24" s="52">
        <f>(100-D24)*C24/(100+E24)</f>
        <v>20.97</v>
      </c>
    </row>
    <row r="25" spans="2:7" x14ac:dyDescent="0.3">
      <c r="B25" s="128"/>
      <c r="C25" s="49">
        <f t="shared" ref="C25:C30" si="0">$L$3</f>
        <v>69.900000000000006</v>
      </c>
      <c r="D25" s="50">
        <f t="shared" ref="D25:D30" si="1">$L$2</f>
        <v>40</v>
      </c>
      <c r="E25" s="51">
        <v>150</v>
      </c>
      <c r="F25" s="52">
        <f>(100-D25)*C25/(100+E25)</f>
        <v>16.776</v>
      </c>
    </row>
    <row r="26" spans="2:7" x14ac:dyDescent="0.3">
      <c r="B26" s="128"/>
      <c r="C26" s="49">
        <f t="shared" si="0"/>
        <v>69.900000000000006</v>
      </c>
      <c r="D26" s="50">
        <f t="shared" si="1"/>
        <v>40</v>
      </c>
      <c r="E26" s="51">
        <v>200</v>
      </c>
      <c r="F26" s="52">
        <f t="shared" ref="F26:F36" si="2">(100-D26)*C26/(100+E26)</f>
        <v>13.98</v>
      </c>
    </row>
    <row r="27" spans="2:7" x14ac:dyDescent="0.3">
      <c r="B27" s="128"/>
      <c r="C27" s="49">
        <f t="shared" si="0"/>
        <v>69.900000000000006</v>
      </c>
      <c r="D27" s="50">
        <f t="shared" si="1"/>
        <v>40</v>
      </c>
      <c r="E27" s="51">
        <v>250</v>
      </c>
      <c r="F27" s="52">
        <f t="shared" si="2"/>
        <v>11.982857142857142</v>
      </c>
    </row>
    <row r="28" spans="2:7" x14ac:dyDescent="0.3">
      <c r="B28" s="128"/>
      <c r="C28" s="49">
        <f t="shared" si="0"/>
        <v>69.900000000000006</v>
      </c>
      <c r="D28" s="50">
        <f t="shared" si="1"/>
        <v>40</v>
      </c>
      <c r="E28" s="51">
        <v>300</v>
      </c>
      <c r="F28" s="52">
        <f t="shared" si="2"/>
        <v>10.484999999999999</v>
      </c>
    </row>
    <row r="29" spans="2:7" x14ac:dyDescent="0.3">
      <c r="B29" s="128"/>
      <c r="C29" s="49">
        <f t="shared" si="0"/>
        <v>69.900000000000006</v>
      </c>
      <c r="D29" s="50">
        <f t="shared" si="1"/>
        <v>40</v>
      </c>
      <c r="E29" s="51">
        <v>400</v>
      </c>
      <c r="F29" s="52">
        <f t="shared" si="2"/>
        <v>8.3879999999999999</v>
      </c>
    </row>
    <row r="30" spans="2:7" ht="21" x14ac:dyDescent="0.3">
      <c r="B30" s="53"/>
      <c r="C30" s="49">
        <f t="shared" si="0"/>
        <v>69.900000000000006</v>
      </c>
      <c r="D30" s="50">
        <f t="shared" si="1"/>
        <v>40</v>
      </c>
      <c r="E30" s="51">
        <v>500</v>
      </c>
      <c r="F30" s="52">
        <f t="shared" si="2"/>
        <v>6.99</v>
      </c>
    </row>
    <row r="31" spans="2:7" x14ac:dyDescent="0.3">
      <c r="B31" s="129" t="s">
        <v>95</v>
      </c>
      <c r="C31" s="58">
        <f>$M$3</f>
        <v>466</v>
      </c>
      <c r="D31" s="66">
        <f>$M$2</f>
        <v>40</v>
      </c>
      <c r="E31" s="67">
        <v>100</v>
      </c>
      <c r="F31" s="61">
        <f t="shared" si="2"/>
        <v>139.80000000000001</v>
      </c>
    </row>
    <row r="32" spans="2:7" x14ac:dyDescent="0.3">
      <c r="B32" s="130"/>
      <c r="C32" s="62">
        <f t="shared" ref="C32:C36" si="3">$M$3</f>
        <v>466</v>
      </c>
      <c r="D32" s="68">
        <f t="shared" ref="D32:D36" si="4">$M$2</f>
        <v>40</v>
      </c>
      <c r="E32" s="69">
        <v>200</v>
      </c>
      <c r="F32" s="65">
        <f t="shared" si="2"/>
        <v>93.2</v>
      </c>
    </row>
    <row r="33" spans="2:6" x14ac:dyDescent="0.3">
      <c r="B33" s="130"/>
      <c r="C33" s="62">
        <f t="shared" si="3"/>
        <v>466</v>
      </c>
      <c r="D33" s="68">
        <f t="shared" si="4"/>
        <v>40</v>
      </c>
      <c r="E33" s="69">
        <v>300</v>
      </c>
      <c r="F33" s="65">
        <f t="shared" si="2"/>
        <v>69.900000000000006</v>
      </c>
    </row>
    <row r="34" spans="2:6" x14ac:dyDescent="0.3">
      <c r="B34" s="130"/>
      <c r="C34" s="62">
        <f t="shared" si="3"/>
        <v>466</v>
      </c>
      <c r="D34" s="68">
        <f t="shared" si="4"/>
        <v>40</v>
      </c>
      <c r="E34" s="69">
        <v>400</v>
      </c>
      <c r="F34" s="65">
        <f t="shared" si="2"/>
        <v>55.92</v>
      </c>
    </row>
    <row r="35" spans="2:6" x14ac:dyDescent="0.3">
      <c r="B35" s="130"/>
      <c r="C35" s="62">
        <f t="shared" si="3"/>
        <v>466</v>
      </c>
      <c r="D35" s="68">
        <f t="shared" si="4"/>
        <v>40</v>
      </c>
      <c r="E35" s="69">
        <v>500</v>
      </c>
      <c r="F35" s="65">
        <f t="shared" si="2"/>
        <v>46.6</v>
      </c>
    </row>
    <row r="36" spans="2:6" x14ac:dyDescent="0.3">
      <c r="B36" s="130"/>
      <c r="C36" s="62">
        <f t="shared" si="3"/>
        <v>466</v>
      </c>
      <c r="D36" s="68">
        <f t="shared" si="4"/>
        <v>40</v>
      </c>
      <c r="E36" s="69">
        <v>600</v>
      </c>
      <c r="F36" s="65">
        <f t="shared" si="2"/>
        <v>39.942857142857143</v>
      </c>
    </row>
    <row r="37" spans="2:6" x14ac:dyDescent="0.3">
      <c r="C37" s="7"/>
      <c r="D37" s="7"/>
    </row>
  </sheetData>
  <mergeCells count="2">
    <mergeCell ref="B24:B29"/>
    <mergeCell ref="B31:B36"/>
  </mergeCells>
  <phoneticPr fontId="2" type="noConversion"/>
  <conditionalFormatting sqref="F24:F30">
    <cfRule type="cellIs" dxfId="9" priority="3" operator="lessThan">
      <formula>$F$20</formula>
    </cfRule>
  </conditionalFormatting>
  <conditionalFormatting sqref="F31:F36">
    <cfRule type="cellIs" dxfId="8" priority="4" operator="lessThan">
      <formula>$F$21</formula>
    </cfRule>
  </conditionalFormatting>
  <conditionalFormatting sqref="G9:G18">
    <cfRule type="cellIs" dxfId="7" priority="1" operator="greaterThan">
      <formula>0.15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CA5D-88EC-46A7-9C12-DBCD1A3F8336}">
  <dimension ref="B1:O41"/>
  <sheetViews>
    <sheetView showGridLines="0" tabSelected="1" zoomScaleNormal="100" workbookViewId="0">
      <selection activeCell="G24" sqref="G24"/>
    </sheetView>
  </sheetViews>
  <sheetFormatPr baseColWidth="10" defaultRowHeight="14.4" x14ac:dyDescent="0.3"/>
  <cols>
    <col min="2" max="2" width="46" customWidth="1"/>
    <col min="3" max="3" width="31.88671875" customWidth="1"/>
    <col min="4" max="4" width="17.44140625" customWidth="1"/>
    <col min="5" max="5" width="16.109375" customWidth="1"/>
    <col min="6" max="6" width="17.6640625" customWidth="1"/>
    <col min="7" max="7" width="25.33203125" bestFit="1" customWidth="1"/>
    <col min="8" max="8" width="9.6640625" customWidth="1"/>
    <col min="10" max="10" width="6.5546875" customWidth="1"/>
    <col min="11" max="11" width="20.44140625" customWidth="1"/>
    <col min="12" max="12" width="7.6640625" customWidth="1"/>
  </cols>
  <sheetData>
    <row r="1" spans="2:15" x14ac:dyDescent="0.3">
      <c r="C1" s="8" t="s">
        <v>133</v>
      </c>
      <c r="D1" s="91">
        <f>SocialMedia+Location</f>
        <v>174000000</v>
      </c>
      <c r="E1" s="95">
        <v>0.5</v>
      </c>
      <c r="F1" s="8"/>
      <c r="L1" s="54" t="s">
        <v>99</v>
      </c>
      <c r="M1" s="54" t="s">
        <v>94</v>
      </c>
      <c r="N1" s="54" t="s">
        <v>96</v>
      </c>
    </row>
    <row r="2" spans="2:15" ht="15.6" x14ac:dyDescent="0.3">
      <c r="B2" s="36" t="s">
        <v>83</v>
      </c>
      <c r="C2" s="8" t="s">
        <v>165</v>
      </c>
      <c r="D2" s="92">
        <f>SUMIF(Tableau3[Status],"1",Tableau3[Amount(IDR)])</f>
        <v>32339295</v>
      </c>
      <c r="E2" s="100">
        <v>1</v>
      </c>
      <c r="F2" s="7"/>
      <c r="G2" s="8" t="s">
        <v>67</v>
      </c>
      <c r="H2" s="109">
        <f>EUR_IDR</f>
        <v>17122</v>
      </c>
      <c r="I2" s="35">
        <v>45383</v>
      </c>
      <c r="K2" s="115" t="s">
        <v>91</v>
      </c>
      <c r="L2" s="119">
        <v>40</v>
      </c>
      <c r="M2" s="56">
        <v>20</v>
      </c>
      <c r="N2" s="55">
        <v>40</v>
      </c>
    </row>
    <row r="3" spans="2:15" ht="15.6" x14ac:dyDescent="0.3">
      <c r="C3" s="8" t="s">
        <v>66</v>
      </c>
      <c r="D3" s="7">
        <f>E3*H2</f>
        <v>3467205</v>
      </c>
      <c r="E3" s="101">
        <v>202.5</v>
      </c>
      <c r="F3" s="7"/>
      <c r="G3" s="8" t="s">
        <v>128</v>
      </c>
      <c r="H3" s="88">
        <v>0.12576000000000001</v>
      </c>
      <c r="K3" s="115" t="s">
        <v>92</v>
      </c>
      <c r="L3" s="118">
        <v>13.4</v>
      </c>
      <c r="M3" s="90">
        <v>14.98</v>
      </c>
      <c r="N3" s="89">
        <v>29.95</v>
      </c>
    </row>
    <row r="4" spans="2:15" ht="15.6" x14ac:dyDescent="0.3">
      <c r="C4" s="8" t="s">
        <v>121</v>
      </c>
      <c r="D4" s="94">
        <v>56500</v>
      </c>
      <c r="E4" s="1" t="s">
        <v>115</v>
      </c>
      <c r="F4" s="3" t="s">
        <v>96</v>
      </c>
      <c r="G4" s="8" t="s">
        <v>129</v>
      </c>
      <c r="H4" s="88">
        <v>0.54657</v>
      </c>
      <c r="K4" s="113" t="s">
        <v>166</v>
      </c>
      <c r="L4" s="117">
        <f>L3*(100-L2)/100</f>
        <v>8.0399999999999991</v>
      </c>
      <c r="M4" s="70"/>
    </row>
    <row r="5" spans="2:15" x14ac:dyDescent="0.3">
      <c r="C5" s="8" t="s">
        <v>114</v>
      </c>
      <c r="D5" s="71">
        <f>D4/30</f>
        <v>1883.3333333333333</v>
      </c>
      <c r="E5" s="12">
        <f>D4/100</f>
        <v>565</v>
      </c>
      <c r="F5" s="86">
        <f>D4/200</f>
        <v>282.5</v>
      </c>
      <c r="G5" s="8" t="s">
        <v>130</v>
      </c>
      <c r="H5" s="88">
        <v>0.44978000000000001</v>
      </c>
    </row>
    <row r="6" spans="2:15" x14ac:dyDescent="0.3">
      <c r="C6" s="8" t="s">
        <v>116</v>
      </c>
      <c r="D6" s="71">
        <f>M7</f>
        <v>1789.1666666666665</v>
      </c>
      <c r="E6" s="102">
        <f>N7</f>
        <v>536.75</v>
      </c>
      <c r="F6" s="86">
        <f>O7</f>
        <v>268.375</v>
      </c>
      <c r="G6" s="8" t="s">
        <v>85</v>
      </c>
      <c r="H6" s="88">
        <v>14500</v>
      </c>
      <c r="L6" s="8" t="s">
        <v>110</v>
      </c>
      <c r="M6" s="70" t="s">
        <v>117</v>
      </c>
      <c r="N6" s="70" t="s">
        <v>118</v>
      </c>
      <c r="O6" s="8" t="s">
        <v>119</v>
      </c>
    </row>
    <row r="7" spans="2:15" x14ac:dyDescent="0.3">
      <c r="B7" s="8" t="s">
        <v>72</v>
      </c>
      <c r="C7" s="8" t="s">
        <v>131</v>
      </c>
      <c r="D7" s="71">
        <f>D5+'Rich Lotion'!D5+Serum!D5</f>
        <v>7500</v>
      </c>
      <c r="G7" s="8" t="s">
        <v>79</v>
      </c>
      <c r="H7" s="110">
        <f>CHF_IDR</f>
        <v>17510</v>
      </c>
      <c r="I7" s="35">
        <v>45383</v>
      </c>
      <c r="K7" s="8" t="s">
        <v>108</v>
      </c>
      <c r="L7" s="47">
        <v>5</v>
      </c>
      <c r="M7" s="45">
        <f>D5*(100-L7)/100</f>
        <v>1789.1666666666665</v>
      </c>
      <c r="N7" s="45">
        <f>E5*(100-L7)/100</f>
        <v>536.75</v>
      </c>
      <c r="O7" s="45">
        <f>F5*(100-L7)/100</f>
        <v>268.375</v>
      </c>
    </row>
    <row r="8" spans="2:15" x14ac:dyDescent="0.3">
      <c r="B8" s="8" t="s">
        <v>63</v>
      </c>
      <c r="C8" s="8" t="s">
        <v>64</v>
      </c>
      <c r="D8" s="8" t="s">
        <v>65</v>
      </c>
      <c r="E8" s="8" t="s">
        <v>94</v>
      </c>
      <c r="G8" s="10" t="s">
        <v>89</v>
      </c>
      <c r="K8" s="8" t="s">
        <v>125</v>
      </c>
      <c r="L8" s="93">
        <v>6506.54</v>
      </c>
      <c r="M8" s="43" t="s">
        <v>126</v>
      </c>
      <c r="N8" s="46">
        <f>L8*(100-L9)/100</f>
        <v>6506.54</v>
      </c>
    </row>
    <row r="9" spans="2:15" x14ac:dyDescent="0.3">
      <c r="B9" t="s">
        <v>81</v>
      </c>
      <c r="C9" s="7">
        <f>D6*H5</f>
        <v>804.73138333333327</v>
      </c>
      <c r="D9" s="7">
        <f>Tableau57[[#This Row],[Price(Euro)]]*H2</f>
        <v>13778610.745433332</v>
      </c>
      <c r="E9" s="7">
        <f>E6*H5*H2</f>
        <v>4133583.2236300004</v>
      </c>
      <c r="F9" s="7">
        <f>F6*H5*H2</f>
        <v>2066791.6118150002</v>
      </c>
      <c r="G9" s="39">
        <f>Tableau57[[#This Row],[Price(IDR)]]/SUM(Tableau57[Price(IDR)])</f>
        <v>6.8294262533281358E-2</v>
      </c>
      <c r="K9" s="8" t="s">
        <v>127</v>
      </c>
      <c r="L9" s="47">
        <v>0</v>
      </c>
      <c r="M9" s="4"/>
    </row>
    <row r="10" spans="2:15" x14ac:dyDescent="0.3">
      <c r="B10" t="s">
        <v>69</v>
      </c>
      <c r="C10" s="7">
        <f>D6*H3</f>
        <v>225.00559999999999</v>
      </c>
      <c r="D10" s="7">
        <f>Tableau57[[#This Row],[Price(Euro)]]*H2</f>
        <v>3852545.8831999996</v>
      </c>
      <c r="E10" s="7">
        <f>E6*H3*H2</f>
        <v>1155763.7649600001</v>
      </c>
      <c r="F10" s="7">
        <f>F6*H3*H2</f>
        <v>577881.88248000003</v>
      </c>
      <c r="G10" s="39">
        <f>Tableau57[[#This Row],[Price(IDR)]]/SUM(Tableau57[Price(IDR)])</f>
        <v>1.9095305385267162E-2</v>
      </c>
    </row>
    <row r="11" spans="2:15" x14ac:dyDescent="0.3">
      <c r="B11" t="s">
        <v>71</v>
      </c>
      <c r="C11" s="7">
        <f>D6*H4</f>
        <v>977.90482499999996</v>
      </c>
      <c r="D11" s="7">
        <f>Tableau57[[#This Row],[Price(Euro)]]*H2</f>
        <v>16743686.413649999</v>
      </c>
      <c r="E11" s="7">
        <f>E6*H4*H2</f>
        <v>5023105.9240950001</v>
      </c>
      <c r="F11" s="7">
        <f>F6*H4*H2</f>
        <v>2511552.9620475001</v>
      </c>
      <c r="G11" s="39">
        <f>Tableau57[[#This Row],[Price(IDR)]]/SUM(Tableau57[Price(IDR)])</f>
        <v>8.2990784545367943E-2</v>
      </c>
    </row>
    <row r="12" spans="2:15" x14ac:dyDescent="0.3">
      <c r="B12" t="s">
        <v>73</v>
      </c>
      <c r="C12" s="7"/>
      <c r="D12" s="7">
        <f>D2*(D5/D7)*E2</f>
        <v>8120756.2999999998</v>
      </c>
      <c r="G12" s="39">
        <f>Tableau57[[#This Row],[Price(IDR)]]/SUM(Tableau57[Price(IDR)])</f>
        <v>4.0250869479334914E-2</v>
      </c>
    </row>
    <row r="13" spans="2:15" x14ac:dyDescent="0.3">
      <c r="B13" t="s">
        <v>135</v>
      </c>
      <c r="C13" s="7"/>
      <c r="D13" s="7">
        <f>D1*(D6/D7)*E1</f>
        <v>20754333.333333332</v>
      </c>
      <c r="G13" s="39">
        <f>Tableau57[[#This Row],[Price(IDR)]]/SUM(Tableau57[Price(IDR)])</f>
        <v>0.10286972435444341</v>
      </c>
    </row>
    <row r="14" spans="2:15" x14ac:dyDescent="0.3">
      <c r="B14" t="s">
        <v>74</v>
      </c>
      <c r="C14" s="7"/>
      <c r="D14" s="7">
        <v>0</v>
      </c>
      <c r="G14" s="39">
        <f>Tableau57[[#This Row],[Price(IDR)]]/SUM(Tableau57[Price(IDR)])</f>
        <v>0</v>
      </c>
    </row>
    <row r="15" spans="2:15" x14ac:dyDescent="0.3">
      <c r="B15" t="s">
        <v>75</v>
      </c>
      <c r="C15" s="7"/>
      <c r="D15" s="7">
        <v>0</v>
      </c>
      <c r="G15" s="39">
        <f>Tableau57[[#This Row],[Price(IDR)]]/SUM(Tableau57[Price(IDR)])</f>
        <v>0</v>
      </c>
    </row>
    <row r="16" spans="2:15" x14ac:dyDescent="0.3">
      <c r="B16" t="s">
        <v>106</v>
      </c>
      <c r="C16" s="7">
        <f>N8</f>
        <v>6506.54</v>
      </c>
      <c r="D16" s="7">
        <f>Tableau57[[#This Row],[Price(Euro)]]*H2</f>
        <v>111404977.88</v>
      </c>
      <c r="G16" s="39">
        <f>Tableau57[[#This Row],[Price(IDR)]]/SUM(Tableau57[Price(IDR)])</f>
        <v>0.55218344921840257</v>
      </c>
    </row>
    <row r="17" spans="2:7" x14ac:dyDescent="0.3">
      <c r="B17" t="s">
        <v>77</v>
      </c>
      <c r="C17" s="7">
        <f>E3/3</f>
        <v>67.5</v>
      </c>
      <c r="D17" s="7">
        <f>Tableau57[[#This Row],[Price(Euro)]]*$H$2</f>
        <v>1155735</v>
      </c>
      <c r="G17" s="39">
        <f>Tableau57[[#This Row],[Price(IDR)]]/SUM(Tableau57[Price(IDR)])</f>
        <v>5.7284490408484653E-3</v>
      </c>
    </row>
    <row r="18" spans="2:7" x14ac:dyDescent="0.3">
      <c r="B18" t="s">
        <v>78</v>
      </c>
      <c r="C18" s="7"/>
      <c r="D18" s="13">
        <f>H6*D6</f>
        <v>25942916.666666664</v>
      </c>
      <c r="E18" s="9">
        <f>H6*E6</f>
        <v>7782875</v>
      </c>
      <c r="F18" s="7">
        <f>F6*H6</f>
        <v>3891437.5</v>
      </c>
      <c r="G18" s="39">
        <f>Tableau57[[#This Row],[Price(IDR)]]/SUM(Tableau57[Price(IDR)])</f>
        <v>0.12858715544305427</v>
      </c>
    </row>
    <row r="19" spans="2:7" x14ac:dyDescent="0.3">
      <c r="C19" s="7"/>
      <c r="D19" s="111" t="s">
        <v>25</v>
      </c>
      <c r="E19" s="112" t="s">
        <v>80</v>
      </c>
      <c r="F19" s="112" t="s">
        <v>90</v>
      </c>
    </row>
    <row r="20" spans="2:7" ht="18" x14ac:dyDescent="0.35">
      <c r="B20" s="8"/>
      <c r="C20" s="25" t="s">
        <v>100</v>
      </c>
      <c r="D20" s="74">
        <f>SUM(Tableau57[Price(IDR)])/D6</f>
        <v>112763.98447449463</v>
      </c>
      <c r="E20" s="34">
        <f>D20/H7</f>
        <v>6.4399762692458387</v>
      </c>
      <c r="F20" s="73">
        <f>D20/H2</f>
        <v>6.5859119538894193</v>
      </c>
    </row>
    <row r="21" spans="2:7" ht="18" x14ac:dyDescent="0.35">
      <c r="B21" s="8"/>
      <c r="C21" s="25" t="s">
        <v>104</v>
      </c>
      <c r="D21" s="74">
        <f>SUM(E9:E11,D12:D17,E18)/E6</f>
        <v>297216.82426831545</v>
      </c>
      <c r="E21" s="34">
        <f>D21/H7</f>
        <v>16.974119033027723</v>
      </c>
      <c r="F21" s="73">
        <f>D21/H2</f>
        <v>17.358767916616952</v>
      </c>
    </row>
    <row r="22" spans="2:7" ht="18" x14ac:dyDescent="0.35">
      <c r="C22" s="25" t="s">
        <v>105</v>
      </c>
      <c r="D22" s="74">
        <f>SUM(E9:E11,D12:D17,E18)/F6</f>
        <v>594433.64853663091</v>
      </c>
      <c r="E22" s="44">
        <f>D22/H7</f>
        <v>33.948238066055445</v>
      </c>
      <c r="F22" s="73">
        <f>D22/H2</f>
        <v>34.717535833233903</v>
      </c>
    </row>
    <row r="23" spans="2:7" x14ac:dyDescent="0.3">
      <c r="C23" s="48" t="s">
        <v>92</v>
      </c>
      <c r="D23" s="48" t="s">
        <v>91</v>
      </c>
      <c r="E23" s="10" t="s">
        <v>150</v>
      </c>
      <c r="F23" s="10" t="s">
        <v>153</v>
      </c>
    </row>
    <row r="24" spans="2:7" x14ac:dyDescent="0.3">
      <c r="B24" s="128" t="s">
        <v>123</v>
      </c>
      <c r="C24" s="49">
        <f t="shared" ref="C24:C29" si="0">$L$3</f>
        <v>13.4</v>
      </c>
      <c r="D24" s="50">
        <f t="shared" ref="D24:D29" si="1">$L$2</f>
        <v>40</v>
      </c>
      <c r="E24" s="51">
        <v>20</v>
      </c>
      <c r="F24" s="52">
        <f>(100-D24)*C24/(100+E24)</f>
        <v>6.7</v>
      </c>
    </row>
    <row r="25" spans="2:7" x14ac:dyDescent="0.3">
      <c r="B25" s="128"/>
      <c r="C25" s="49">
        <f t="shared" si="0"/>
        <v>13.4</v>
      </c>
      <c r="D25" s="50">
        <f t="shared" si="1"/>
        <v>40</v>
      </c>
      <c r="E25" s="51">
        <v>150</v>
      </c>
      <c r="F25" s="52">
        <f>(100-D25)*C25/(100+E25)</f>
        <v>3.2160000000000002</v>
      </c>
    </row>
    <row r="26" spans="2:7" x14ac:dyDescent="0.3">
      <c r="B26" s="128"/>
      <c r="C26" s="49">
        <f t="shared" si="0"/>
        <v>13.4</v>
      </c>
      <c r="D26" s="50">
        <f t="shared" si="1"/>
        <v>40</v>
      </c>
      <c r="E26" s="51">
        <v>200</v>
      </c>
      <c r="F26" s="52">
        <f t="shared" ref="F26:F41" si="2">(100-D26)*C26/(100+E26)</f>
        <v>2.68</v>
      </c>
    </row>
    <row r="27" spans="2:7" x14ac:dyDescent="0.3">
      <c r="B27" s="128"/>
      <c r="C27" s="49">
        <f t="shared" si="0"/>
        <v>13.4</v>
      </c>
      <c r="D27" s="50">
        <f t="shared" si="1"/>
        <v>40</v>
      </c>
      <c r="E27" s="51">
        <v>250</v>
      </c>
      <c r="F27" s="52">
        <f t="shared" si="2"/>
        <v>2.2971428571428572</v>
      </c>
    </row>
    <row r="28" spans="2:7" x14ac:dyDescent="0.3">
      <c r="B28" s="128"/>
      <c r="C28" s="49">
        <f t="shared" si="0"/>
        <v>13.4</v>
      </c>
      <c r="D28" s="50">
        <f t="shared" si="1"/>
        <v>40</v>
      </c>
      <c r="E28" s="51">
        <v>300</v>
      </c>
      <c r="F28" s="52">
        <f t="shared" si="2"/>
        <v>2.0099999999999998</v>
      </c>
    </row>
    <row r="29" spans="2:7" x14ac:dyDescent="0.3">
      <c r="B29" s="128"/>
      <c r="C29" s="49">
        <f t="shared" si="0"/>
        <v>13.4</v>
      </c>
      <c r="D29" s="50">
        <f t="shared" si="1"/>
        <v>40</v>
      </c>
      <c r="E29" s="51">
        <v>350</v>
      </c>
      <c r="F29" s="52">
        <f t="shared" si="2"/>
        <v>1.7866666666666666</v>
      </c>
    </row>
    <row r="30" spans="2:7" x14ac:dyDescent="0.3">
      <c r="B30" s="129" t="s">
        <v>97</v>
      </c>
      <c r="C30" s="58">
        <f>$M$3</f>
        <v>14.98</v>
      </c>
      <c r="D30" s="66">
        <f>$M$2</f>
        <v>20</v>
      </c>
      <c r="E30" s="67">
        <v>0</v>
      </c>
      <c r="F30" s="61">
        <f t="shared" si="2"/>
        <v>11.984000000000002</v>
      </c>
    </row>
    <row r="31" spans="2:7" x14ac:dyDescent="0.3">
      <c r="B31" s="130"/>
      <c r="C31" s="62">
        <f t="shared" ref="C31:C35" si="3">$M$3</f>
        <v>14.98</v>
      </c>
      <c r="D31" s="68">
        <f t="shared" ref="D31:D35" si="4">$M$2</f>
        <v>20</v>
      </c>
      <c r="E31" s="69">
        <v>150</v>
      </c>
      <c r="F31" s="65">
        <f t="shared" si="2"/>
        <v>4.7936000000000005</v>
      </c>
    </row>
    <row r="32" spans="2:7" x14ac:dyDescent="0.3">
      <c r="B32" s="130"/>
      <c r="C32" s="62">
        <f t="shared" si="3"/>
        <v>14.98</v>
      </c>
      <c r="D32" s="68">
        <f t="shared" si="4"/>
        <v>20</v>
      </c>
      <c r="E32" s="69">
        <v>200</v>
      </c>
      <c r="F32" s="65">
        <f t="shared" si="2"/>
        <v>3.9946666666666668</v>
      </c>
    </row>
    <row r="33" spans="2:6" x14ac:dyDescent="0.3">
      <c r="B33" s="130"/>
      <c r="C33" s="62">
        <f t="shared" si="3"/>
        <v>14.98</v>
      </c>
      <c r="D33" s="68">
        <f t="shared" si="4"/>
        <v>20</v>
      </c>
      <c r="E33" s="69">
        <v>250</v>
      </c>
      <c r="F33" s="65">
        <f t="shared" si="2"/>
        <v>3.4240000000000004</v>
      </c>
    </row>
    <row r="34" spans="2:6" x14ac:dyDescent="0.3">
      <c r="B34" s="130"/>
      <c r="C34" s="62">
        <f t="shared" si="3"/>
        <v>14.98</v>
      </c>
      <c r="D34" s="68">
        <f t="shared" si="4"/>
        <v>20</v>
      </c>
      <c r="E34" s="69">
        <v>300</v>
      </c>
      <c r="F34" s="65">
        <f t="shared" si="2"/>
        <v>2.9960000000000004</v>
      </c>
    </row>
    <row r="35" spans="2:6" x14ac:dyDescent="0.3">
      <c r="B35" s="130"/>
      <c r="C35" s="62">
        <f t="shared" si="3"/>
        <v>14.98</v>
      </c>
      <c r="D35" s="68">
        <f t="shared" si="4"/>
        <v>20</v>
      </c>
      <c r="E35" s="69">
        <v>350</v>
      </c>
      <c r="F35" s="65">
        <f t="shared" si="2"/>
        <v>2.6631111111111112</v>
      </c>
    </row>
    <row r="36" spans="2:6" x14ac:dyDescent="0.3">
      <c r="B36" s="131" t="s">
        <v>98</v>
      </c>
      <c r="C36" s="77">
        <f t="shared" ref="C36:C41" si="5">$N$3</f>
        <v>29.95</v>
      </c>
      <c r="D36" s="78">
        <f t="shared" ref="D36:D41" si="6">$N$2</f>
        <v>40</v>
      </c>
      <c r="E36" s="79">
        <v>0</v>
      </c>
      <c r="F36" s="80">
        <f t="shared" si="2"/>
        <v>17.97</v>
      </c>
    </row>
    <row r="37" spans="2:6" x14ac:dyDescent="0.3">
      <c r="B37" s="132"/>
      <c r="C37" s="81">
        <f t="shared" si="5"/>
        <v>29.95</v>
      </c>
      <c r="D37" s="82">
        <f t="shared" si="6"/>
        <v>40</v>
      </c>
      <c r="E37" s="75">
        <v>150</v>
      </c>
      <c r="F37" s="76">
        <f t="shared" si="2"/>
        <v>7.1879999999999997</v>
      </c>
    </row>
    <row r="38" spans="2:6" x14ac:dyDescent="0.3">
      <c r="B38" s="132"/>
      <c r="C38" s="81">
        <f t="shared" si="5"/>
        <v>29.95</v>
      </c>
      <c r="D38" s="82">
        <f t="shared" si="6"/>
        <v>40</v>
      </c>
      <c r="E38" s="75">
        <v>200</v>
      </c>
      <c r="F38" s="76">
        <f t="shared" si="2"/>
        <v>5.99</v>
      </c>
    </row>
    <row r="39" spans="2:6" x14ac:dyDescent="0.3">
      <c r="B39" s="132"/>
      <c r="C39" s="81">
        <f t="shared" si="5"/>
        <v>29.95</v>
      </c>
      <c r="D39" s="82">
        <f t="shared" si="6"/>
        <v>40</v>
      </c>
      <c r="E39" s="75">
        <v>250</v>
      </c>
      <c r="F39" s="76">
        <f t="shared" si="2"/>
        <v>5.1342857142857143</v>
      </c>
    </row>
    <row r="40" spans="2:6" x14ac:dyDescent="0.3">
      <c r="B40" s="132"/>
      <c r="C40" s="81">
        <f t="shared" si="5"/>
        <v>29.95</v>
      </c>
      <c r="D40" s="82">
        <f t="shared" si="6"/>
        <v>40</v>
      </c>
      <c r="E40" s="75">
        <v>300</v>
      </c>
      <c r="F40" s="76">
        <f t="shared" si="2"/>
        <v>4.4924999999999997</v>
      </c>
    </row>
    <row r="41" spans="2:6" x14ac:dyDescent="0.3">
      <c r="B41" s="132"/>
      <c r="C41" s="81">
        <f t="shared" si="5"/>
        <v>29.95</v>
      </c>
      <c r="D41" s="82">
        <f t="shared" si="6"/>
        <v>40</v>
      </c>
      <c r="E41" s="75">
        <v>350</v>
      </c>
      <c r="F41" s="76">
        <f t="shared" si="2"/>
        <v>3.9933333333333332</v>
      </c>
    </row>
  </sheetData>
  <mergeCells count="3">
    <mergeCell ref="B30:B35"/>
    <mergeCell ref="B24:B29"/>
    <mergeCell ref="B36:B41"/>
  </mergeCells>
  <conditionalFormatting sqref="F24:F29">
    <cfRule type="cellIs" dxfId="6" priority="4" operator="lessThan">
      <formula>$F$20</formula>
    </cfRule>
  </conditionalFormatting>
  <conditionalFormatting sqref="F30:F35">
    <cfRule type="cellIs" dxfId="5" priority="3" operator="lessThan">
      <formula>$F$21</formula>
    </cfRule>
  </conditionalFormatting>
  <conditionalFormatting sqref="F36:F41">
    <cfRule type="cellIs" dxfId="4" priority="2" operator="lessThan">
      <formula>$F$22</formula>
    </cfRule>
  </conditionalFormatting>
  <conditionalFormatting sqref="G9:G18">
    <cfRule type="cellIs" dxfId="3" priority="1" operator="greaterThan">
      <formula>0.15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321E8-BB27-4538-8939-8D8D0F21AA90}">
  <dimension ref="B1:O37"/>
  <sheetViews>
    <sheetView showGridLines="0" workbookViewId="0">
      <selection activeCell="M6" sqref="M6"/>
    </sheetView>
  </sheetViews>
  <sheetFormatPr baseColWidth="10" defaultRowHeight="14.4" x14ac:dyDescent="0.3"/>
  <cols>
    <col min="2" max="2" width="44.5546875" customWidth="1"/>
    <col min="3" max="3" width="32.109375" customWidth="1"/>
    <col min="4" max="4" width="17.33203125" customWidth="1"/>
    <col min="5" max="5" width="14" bestFit="1" customWidth="1"/>
    <col min="6" max="6" width="17.5546875" customWidth="1"/>
    <col min="7" max="7" width="25.33203125" bestFit="1" customWidth="1"/>
    <col min="11" max="11" width="19.5546875" customWidth="1"/>
    <col min="12" max="12" width="10.109375" customWidth="1"/>
    <col min="13" max="13" width="13.88671875" customWidth="1"/>
  </cols>
  <sheetData>
    <row r="1" spans="2:15" x14ac:dyDescent="0.3">
      <c r="C1" s="8" t="s">
        <v>133</v>
      </c>
      <c r="D1" s="91">
        <f>SocialMedia+Location</f>
        <v>174000000</v>
      </c>
      <c r="E1" s="95">
        <v>0.6</v>
      </c>
      <c r="F1" s="8"/>
      <c r="L1" s="54" t="s">
        <v>99</v>
      </c>
      <c r="M1" s="54" t="s">
        <v>94</v>
      </c>
    </row>
    <row r="2" spans="2:15" ht="15.6" x14ac:dyDescent="0.3">
      <c r="B2" s="36" t="s">
        <v>84</v>
      </c>
      <c r="C2" s="8" t="s">
        <v>165</v>
      </c>
      <c r="D2" s="92">
        <f>SUMIF(Tableau3[Status],"1",Tableau3[Amount(IDR)])</f>
        <v>32339295</v>
      </c>
      <c r="E2" s="100">
        <v>1</v>
      </c>
      <c r="F2" s="7"/>
      <c r="G2" s="8" t="s">
        <v>67</v>
      </c>
      <c r="H2" s="109">
        <f>EUR_IDR</f>
        <v>17122</v>
      </c>
      <c r="I2" s="35">
        <v>45383</v>
      </c>
      <c r="K2" s="113" t="s">
        <v>91</v>
      </c>
      <c r="L2" s="120">
        <v>40</v>
      </c>
      <c r="M2" s="56">
        <v>40</v>
      </c>
    </row>
    <row r="3" spans="2:15" ht="15.6" x14ac:dyDescent="0.3">
      <c r="C3" s="8" t="s">
        <v>66</v>
      </c>
      <c r="D3" s="85">
        <f>E3*H2</f>
        <v>3467205</v>
      </c>
      <c r="E3" s="101">
        <v>202.5</v>
      </c>
      <c r="F3" s="7" t="s">
        <v>134</v>
      </c>
      <c r="G3" s="8" t="s">
        <v>128</v>
      </c>
      <c r="H3" s="88">
        <v>0.12576000000000001</v>
      </c>
      <c r="K3" s="113" t="s">
        <v>92</v>
      </c>
      <c r="L3" s="116">
        <v>35</v>
      </c>
      <c r="M3" s="90">
        <v>99.85</v>
      </c>
    </row>
    <row r="4" spans="2:15" ht="15.6" x14ac:dyDescent="0.3">
      <c r="C4" s="8" t="s">
        <v>113</v>
      </c>
      <c r="D4" s="94">
        <v>52500</v>
      </c>
      <c r="E4" s="1" t="s">
        <v>94</v>
      </c>
      <c r="G4" s="8" t="s">
        <v>129</v>
      </c>
      <c r="H4" s="88">
        <v>0.54657</v>
      </c>
      <c r="K4" s="113" t="s">
        <v>166</v>
      </c>
      <c r="L4" s="114">
        <f>L3*(100-L2)/100</f>
        <v>21</v>
      </c>
      <c r="M4" s="4"/>
    </row>
    <row r="5" spans="2:15" x14ac:dyDescent="0.3">
      <c r="C5" s="8" t="s">
        <v>114</v>
      </c>
      <c r="D5" s="71">
        <f>D4/30</f>
        <v>1750</v>
      </c>
      <c r="E5" s="12">
        <f>D4/100</f>
        <v>525</v>
      </c>
      <c r="G5" s="8" t="s">
        <v>130</v>
      </c>
      <c r="H5" s="88">
        <v>0.44978000000000001</v>
      </c>
    </row>
    <row r="6" spans="2:15" x14ac:dyDescent="0.3">
      <c r="C6" s="8" t="s">
        <v>116</v>
      </c>
      <c r="D6" s="71">
        <f>M7</f>
        <v>1662.5</v>
      </c>
      <c r="E6" s="102">
        <f>N7</f>
        <v>498.75</v>
      </c>
      <c r="G6" s="8" t="s">
        <v>85</v>
      </c>
      <c r="H6" s="88">
        <v>14500</v>
      </c>
      <c r="L6" s="4" t="s">
        <v>110</v>
      </c>
      <c r="M6" s="4" t="s">
        <v>111</v>
      </c>
      <c r="N6" t="s">
        <v>112</v>
      </c>
    </row>
    <row r="7" spans="2:15" x14ac:dyDescent="0.3">
      <c r="B7" s="8" t="s">
        <v>72</v>
      </c>
      <c r="C7" s="8" t="s">
        <v>131</v>
      </c>
      <c r="D7" s="71">
        <f>D5+Emulsion!D5+Serum!D5</f>
        <v>7500</v>
      </c>
      <c r="G7" s="8" t="s">
        <v>79</v>
      </c>
      <c r="H7" s="110">
        <f>CHF_IDR</f>
        <v>17510</v>
      </c>
      <c r="I7" s="35">
        <v>45383</v>
      </c>
      <c r="K7" s="8" t="s">
        <v>109</v>
      </c>
      <c r="L7" s="57">
        <v>5</v>
      </c>
      <c r="M7" s="70">
        <f>D5*(100-L7)/100</f>
        <v>1662.5</v>
      </c>
      <c r="N7" s="72">
        <f>E5*(100-L7)/100</f>
        <v>498.75</v>
      </c>
    </row>
    <row r="8" spans="2:15" x14ac:dyDescent="0.3">
      <c r="B8" s="8" t="s">
        <v>63</v>
      </c>
      <c r="C8" s="8" t="s">
        <v>64</v>
      </c>
      <c r="D8" s="8" t="s">
        <v>65</v>
      </c>
      <c r="E8" s="8" t="s">
        <v>70</v>
      </c>
      <c r="F8" s="8"/>
      <c r="G8" s="10" t="s">
        <v>89</v>
      </c>
      <c r="K8" s="8" t="s">
        <v>124</v>
      </c>
      <c r="L8" s="47">
        <v>0</v>
      </c>
      <c r="M8" s="4"/>
      <c r="O8" s="42"/>
    </row>
    <row r="9" spans="2:15" x14ac:dyDescent="0.3">
      <c r="B9" t="s">
        <v>81</v>
      </c>
      <c r="C9" s="7">
        <f>D6*H5</f>
        <v>747.75925000000007</v>
      </c>
      <c r="D9" s="7">
        <f>Tableau578[[#This Row],[Price(Euro)]]*H2</f>
        <v>12803133.878500002</v>
      </c>
      <c r="E9" s="7">
        <f>E6*H5*H2</f>
        <v>3840940.1635500002</v>
      </c>
      <c r="G9" s="39">
        <f>Tableau578[[#This Row],[Price(IDR)]]/SUM(Tableau578[Price(IDR)])</f>
        <v>4.8294442009991237E-2</v>
      </c>
      <c r="K9" s="8" t="s">
        <v>125</v>
      </c>
      <c r="L9" s="93">
        <v>10278.98</v>
      </c>
      <c r="M9" s="43" t="s">
        <v>126</v>
      </c>
      <c r="N9" s="43">
        <f>L9*(100-L8)/100</f>
        <v>10278.98</v>
      </c>
    </row>
    <row r="10" spans="2:15" x14ac:dyDescent="0.3">
      <c r="B10" t="s">
        <v>69</v>
      </c>
      <c r="C10" s="7">
        <f>D6*H3</f>
        <v>209.07600000000002</v>
      </c>
      <c r="D10" s="7">
        <f>Tableau578[[#This Row],[Price(Euro)]]*H2</f>
        <v>3579799.2720000003</v>
      </c>
      <c r="E10" s="7">
        <f>E6*H3*H2</f>
        <v>1073939.7816000001</v>
      </c>
      <c r="G10" s="39">
        <f>Tableau578[[#This Row],[Price(IDR)]]/SUM(Tableau578[Price(IDR)])</f>
        <v>1.3503288334689176E-2</v>
      </c>
    </row>
    <row r="11" spans="2:15" x14ac:dyDescent="0.3">
      <c r="B11" t="s">
        <v>71</v>
      </c>
      <c r="C11" s="7">
        <f>D6*H4</f>
        <v>908.67262500000004</v>
      </c>
      <c r="D11" s="7">
        <f>Tableau578[[#This Row],[Price(Euro)]]*H2</f>
        <v>15558292.685250001</v>
      </c>
      <c r="E11" s="7">
        <f>E6*H4*H2</f>
        <v>4667487.8055750001</v>
      </c>
      <c r="G11" s="39">
        <f>Tableau578[[#This Row],[Price(IDR)]]/SUM(Tableau578[Price(IDR)])</f>
        <v>5.8687120746589237E-2</v>
      </c>
    </row>
    <row r="12" spans="2:15" x14ac:dyDescent="0.3">
      <c r="B12" t="s">
        <v>73</v>
      </c>
      <c r="C12" s="7"/>
      <c r="D12" s="7">
        <f>D2*(D5/D7)*E2</f>
        <v>7545835.5</v>
      </c>
      <c r="E12" s="7"/>
      <c r="G12" s="39">
        <f>Tableau578[[#This Row],[Price(IDR)]]/SUM(Tableau578[Price(IDR)])</f>
        <v>2.8463493268913502E-2</v>
      </c>
    </row>
    <row r="13" spans="2:15" x14ac:dyDescent="0.3">
      <c r="B13" t="s">
        <v>132</v>
      </c>
      <c r="C13" s="7"/>
      <c r="D13" s="7">
        <f>D1*(D5/D7)*E1</f>
        <v>24360000</v>
      </c>
      <c r="E13" s="7"/>
      <c r="G13" s="39">
        <f>Tableau578[[#This Row],[Price(IDR)]]/SUM(Tableau578[Price(IDR)])</f>
        <v>9.1887862653609778E-2</v>
      </c>
    </row>
    <row r="14" spans="2:15" x14ac:dyDescent="0.3">
      <c r="B14" t="s">
        <v>74</v>
      </c>
      <c r="C14" s="7"/>
      <c r="D14" s="7">
        <v>0</v>
      </c>
      <c r="E14" s="7"/>
      <c r="G14" s="39">
        <f>Tableau578[[#This Row],[Price(IDR)]]/SUM(Tableau578[Price(IDR)])</f>
        <v>0</v>
      </c>
    </row>
    <row r="15" spans="2:15" x14ac:dyDescent="0.3">
      <c r="B15" t="s">
        <v>75</v>
      </c>
      <c r="C15" s="7"/>
      <c r="D15" s="7">
        <v>0</v>
      </c>
      <c r="E15" s="7"/>
      <c r="G15" s="39">
        <f>Tableau578[[#This Row],[Price(IDR)]]/SUM(Tableau578[Price(IDR)])</f>
        <v>0</v>
      </c>
    </row>
    <row r="16" spans="2:15" x14ac:dyDescent="0.3">
      <c r="B16" t="s">
        <v>107</v>
      </c>
      <c r="C16" s="7">
        <f>N9</f>
        <v>10278.98</v>
      </c>
      <c r="D16" s="7">
        <f>Tableau578[[#This Row],[Price(Euro)]]*H2</f>
        <v>175996695.56</v>
      </c>
      <c r="E16" s="7"/>
      <c r="F16" s="83"/>
      <c r="G16" s="39">
        <f>Tableau578[[#This Row],[Price(IDR)]]/SUM(Tableau578[Price(IDR)])</f>
        <v>0.66387357098138156</v>
      </c>
    </row>
    <row r="17" spans="2:7" x14ac:dyDescent="0.3">
      <c r="B17" t="s">
        <v>77</v>
      </c>
      <c r="C17" s="7">
        <f>E3/3</f>
        <v>67.5</v>
      </c>
      <c r="D17" s="7">
        <f>Tableau578[[#This Row],[Price(Euro)]]*$H$2</f>
        <v>1155735</v>
      </c>
      <c r="E17" s="7"/>
      <c r="G17" s="39">
        <f>Tableau578[[#This Row],[Price(IDR)]]/SUM(Tableau578[Price(IDR)])</f>
        <v>4.359524587190875E-3</v>
      </c>
    </row>
    <row r="18" spans="2:7" x14ac:dyDescent="0.3">
      <c r="B18" t="s">
        <v>78</v>
      </c>
      <c r="C18" s="7"/>
      <c r="D18" s="7">
        <f>H6*D6</f>
        <v>24106250</v>
      </c>
      <c r="E18" s="7">
        <f>H6*E6</f>
        <v>7231875</v>
      </c>
      <c r="F18" s="13"/>
      <c r="G18" s="39">
        <f>Tableau578[[#This Row],[Price(IDR)]]/SUM(Tableau578[Price(IDR)])</f>
        <v>9.0930697417634682E-2</v>
      </c>
    </row>
    <row r="19" spans="2:7" x14ac:dyDescent="0.3">
      <c r="C19" s="7"/>
      <c r="D19" s="111" t="s">
        <v>25</v>
      </c>
      <c r="E19" s="112" t="s">
        <v>80</v>
      </c>
      <c r="F19" s="112" t="s">
        <v>90</v>
      </c>
    </row>
    <row r="20" spans="2:7" ht="18" x14ac:dyDescent="0.35">
      <c r="B20" s="8"/>
      <c r="C20" s="25" t="s">
        <v>100</v>
      </c>
      <c r="D20" s="34">
        <f>SUM(Tableau578[Price(IDR)])/D6</f>
        <v>159462.10038842104</v>
      </c>
      <c r="E20" s="34">
        <f>D20/H7</f>
        <v>9.1069160701553997</v>
      </c>
      <c r="F20" s="73">
        <f>D20/H2</f>
        <v>9.3132870218678327</v>
      </c>
    </row>
    <row r="21" spans="2:7" ht="18" x14ac:dyDescent="0.35">
      <c r="B21" s="8"/>
      <c r="C21" s="25" t="s">
        <v>104</v>
      </c>
      <c r="D21" s="34">
        <f>SUM(E9:E11,D12:D17,E18)/E6</f>
        <v>452877.21064807021</v>
      </c>
      <c r="E21" s="34">
        <f>D21/H7</f>
        <v>25.86391836939293</v>
      </c>
      <c r="F21" s="73">
        <f>D21/H2</f>
        <v>26.450018143211668</v>
      </c>
    </row>
    <row r="22" spans="2:7" x14ac:dyDescent="0.3">
      <c r="C22" s="7"/>
      <c r="D22" s="7"/>
    </row>
    <row r="23" spans="2:7" x14ac:dyDescent="0.3">
      <c r="C23" s="48" t="s">
        <v>92</v>
      </c>
      <c r="D23" s="48" t="s">
        <v>91</v>
      </c>
      <c r="E23" s="10" t="s">
        <v>150</v>
      </c>
      <c r="F23" s="10" t="s">
        <v>153</v>
      </c>
    </row>
    <row r="24" spans="2:7" x14ac:dyDescent="0.3">
      <c r="B24" s="128" t="s">
        <v>101</v>
      </c>
      <c r="C24" s="49">
        <f>$L$3</f>
        <v>35</v>
      </c>
      <c r="D24" s="50">
        <f>$L$2</f>
        <v>40</v>
      </c>
      <c r="E24" s="51">
        <v>100</v>
      </c>
      <c r="F24" s="52">
        <f>(100-D24)*C24/(100+E24)</f>
        <v>10.5</v>
      </c>
    </row>
    <row r="25" spans="2:7" x14ac:dyDescent="0.3">
      <c r="B25" s="128"/>
      <c r="C25" s="49">
        <f t="shared" ref="C25:C29" si="0">$L$3</f>
        <v>35</v>
      </c>
      <c r="D25" s="50">
        <f t="shared" ref="D25:D29" si="1">$L$2</f>
        <v>40</v>
      </c>
      <c r="E25" s="51">
        <v>120</v>
      </c>
      <c r="F25" s="52">
        <f>(100-D25)*C25/(100+E25)</f>
        <v>9.545454545454545</v>
      </c>
    </row>
    <row r="26" spans="2:7" x14ac:dyDescent="0.3">
      <c r="B26" s="128"/>
      <c r="C26" s="49">
        <f t="shared" si="0"/>
        <v>35</v>
      </c>
      <c r="D26" s="50">
        <f t="shared" si="1"/>
        <v>40</v>
      </c>
      <c r="E26" s="51">
        <v>200</v>
      </c>
      <c r="F26" s="52">
        <f t="shared" ref="F26:F36" si="2">(100-D26)*C26/(100+E26)</f>
        <v>7</v>
      </c>
    </row>
    <row r="27" spans="2:7" x14ac:dyDescent="0.3">
      <c r="B27" s="128"/>
      <c r="C27" s="49">
        <f t="shared" si="0"/>
        <v>35</v>
      </c>
      <c r="D27" s="50">
        <f t="shared" si="1"/>
        <v>40</v>
      </c>
      <c r="E27" s="51">
        <v>250</v>
      </c>
      <c r="F27" s="52">
        <f t="shared" si="2"/>
        <v>6</v>
      </c>
    </row>
    <row r="28" spans="2:7" x14ac:dyDescent="0.3">
      <c r="B28" s="128"/>
      <c r="C28" s="49">
        <f t="shared" si="0"/>
        <v>35</v>
      </c>
      <c r="D28" s="50">
        <f t="shared" si="1"/>
        <v>40</v>
      </c>
      <c r="E28" s="51">
        <v>300</v>
      </c>
      <c r="F28" s="52">
        <f t="shared" si="2"/>
        <v>5.25</v>
      </c>
    </row>
    <row r="29" spans="2:7" x14ac:dyDescent="0.3">
      <c r="B29" s="128"/>
      <c r="C29" s="49">
        <f t="shared" si="0"/>
        <v>35</v>
      </c>
      <c r="D29" s="50">
        <f t="shared" si="1"/>
        <v>40</v>
      </c>
      <c r="E29" s="51">
        <v>350</v>
      </c>
      <c r="F29" s="52">
        <f t="shared" si="2"/>
        <v>4.666666666666667</v>
      </c>
    </row>
    <row r="30" spans="2:7" x14ac:dyDescent="0.3">
      <c r="B30" s="129" t="s">
        <v>102</v>
      </c>
      <c r="C30" s="58">
        <f>$M$3</f>
        <v>99.85</v>
      </c>
      <c r="D30" s="59">
        <f>$M$2</f>
        <v>40</v>
      </c>
      <c r="E30" s="60">
        <v>100</v>
      </c>
      <c r="F30" s="61">
        <f t="shared" si="2"/>
        <v>29.954999999999998</v>
      </c>
    </row>
    <row r="31" spans="2:7" x14ac:dyDescent="0.3">
      <c r="B31" s="130"/>
      <c r="C31" s="62">
        <f t="shared" ref="C31:C36" si="3">$M$3</f>
        <v>99.85</v>
      </c>
      <c r="D31" s="63">
        <f t="shared" ref="D31:D36" si="4">$M$2</f>
        <v>40</v>
      </c>
      <c r="E31" s="64">
        <v>130</v>
      </c>
      <c r="F31" s="65">
        <f t="shared" si="2"/>
        <v>26.047826086956523</v>
      </c>
    </row>
    <row r="32" spans="2:7" x14ac:dyDescent="0.3">
      <c r="B32" s="130"/>
      <c r="C32" s="62">
        <f t="shared" si="3"/>
        <v>99.85</v>
      </c>
      <c r="D32" s="63">
        <f t="shared" si="4"/>
        <v>40</v>
      </c>
      <c r="E32" s="64">
        <v>200</v>
      </c>
      <c r="F32" s="65">
        <f t="shared" si="2"/>
        <v>19.97</v>
      </c>
    </row>
    <row r="33" spans="2:6" x14ac:dyDescent="0.3">
      <c r="B33" s="130"/>
      <c r="C33" s="62">
        <f t="shared" si="3"/>
        <v>99.85</v>
      </c>
      <c r="D33" s="63">
        <f t="shared" si="4"/>
        <v>40</v>
      </c>
      <c r="E33" s="64">
        <v>250</v>
      </c>
      <c r="F33" s="65">
        <f t="shared" si="2"/>
        <v>17.117142857142856</v>
      </c>
    </row>
    <row r="34" spans="2:6" x14ac:dyDescent="0.3">
      <c r="B34" s="130"/>
      <c r="C34" s="62">
        <f t="shared" si="3"/>
        <v>99.85</v>
      </c>
      <c r="D34" s="63">
        <f t="shared" si="4"/>
        <v>40</v>
      </c>
      <c r="E34" s="64">
        <v>300</v>
      </c>
      <c r="F34" s="65">
        <f t="shared" si="2"/>
        <v>14.977499999999999</v>
      </c>
    </row>
    <row r="35" spans="2:6" x14ac:dyDescent="0.3">
      <c r="B35" s="130"/>
      <c r="C35" s="62">
        <f t="shared" si="3"/>
        <v>99.85</v>
      </c>
      <c r="D35" s="63">
        <f t="shared" si="4"/>
        <v>40</v>
      </c>
      <c r="E35" s="64">
        <v>350</v>
      </c>
      <c r="F35" s="65">
        <f t="shared" si="2"/>
        <v>13.313333333333333</v>
      </c>
    </row>
    <row r="36" spans="2:6" x14ac:dyDescent="0.3">
      <c r="B36" s="130"/>
      <c r="C36" s="62">
        <f t="shared" si="3"/>
        <v>99.85</v>
      </c>
      <c r="D36" s="63">
        <f t="shared" si="4"/>
        <v>40</v>
      </c>
      <c r="E36" s="64">
        <v>400</v>
      </c>
      <c r="F36" s="65">
        <f t="shared" si="2"/>
        <v>11.981999999999999</v>
      </c>
    </row>
    <row r="37" spans="2:6" x14ac:dyDescent="0.3">
      <c r="C37" s="7"/>
      <c r="D37" s="7"/>
    </row>
  </sheetData>
  <mergeCells count="2">
    <mergeCell ref="B24:B29"/>
    <mergeCell ref="B30:B36"/>
  </mergeCells>
  <conditionalFormatting sqref="F24:F29">
    <cfRule type="cellIs" dxfId="2" priority="3" operator="lessThan">
      <formula>$E$20</formula>
    </cfRule>
  </conditionalFormatting>
  <conditionalFormatting sqref="F30:F36">
    <cfRule type="cellIs" dxfId="1" priority="2" operator="lessThan">
      <formula>$E$21</formula>
    </cfRule>
  </conditionalFormatting>
  <conditionalFormatting sqref="G9:G18">
    <cfRule type="cellIs" dxfId="0" priority="1" operator="greaterThan">
      <formula>0.15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0ACFD-67F8-49B6-AE55-8E760339334A}">
  <dimension ref="A1:F8"/>
  <sheetViews>
    <sheetView workbookViewId="0">
      <selection activeCell="C15" sqref="C15"/>
    </sheetView>
  </sheetViews>
  <sheetFormatPr baseColWidth="10" defaultRowHeight="14.4" x14ac:dyDescent="0.3"/>
  <cols>
    <col min="1" max="1" width="52.33203125" bestFit="1" customWidth="1"/>
    <col min="2" max="2" width="7.6640625" customWidth="1"/>
    <col min="3" max="3" width="14.6640625" customWidth="1"/>
    <col min="5" max="5" width="12.5546875" bestFit="1" customWidth="1"/>
    <col min="6" max="6" width="10.5546875" bestFit="1" customWidth="1"/>
  </cols>
  <sheetData>
    <row r="1" spans="1:6" x14ac:dyDescent="0.3">
      <c r="A1" t="s">
        <v>157</v>
      </c>
      <c r="B1" t="s">
        <v>138</v>
      </c>
      <c r="C1" t="s">
        <v>139</v>
      </c>
    </row>
    <row r="2" spans="1:6" x14ac:dyDescent="0.3">
      <c r="A2" t="s">
        <v>140</v>
      </c>
      <c r="B2" t="s">
        <v>154</v>
      </c>
      <c r="C2" s="87">
        <v>90000000</v>
      </c>
    </row>
    <row r="3" spans="1:6" x14ac:dyDescent="0.3">
      <c r="A3" t="s">
        <v>141</v>
      </c>
      <c r="B3" t="s">
        <v>158</v>
      </c>
      <c r="C3" s="99">
        <v>50000000</v>
      </c>
    </row>
    <row r="4" spans="1:6" x14ac:dyDescent="0.3">
      <c r="A4" t="s">
        <v>137</v>
      </c>
      <c r="C4" s="99">
        <v>3500000</v>
      </c>
      <c r="F4" s="8"/>
    </row>
    <row r="5" spans="1:6" x14ac:dyDescent="0.3">
      <c r="A5" t="s">
        <v>155</v>
      </c>
      <c r="B5" t="s">
        <v>156</v>
      </c>
      <c r="C5" s="87">
        <v>84000000</v>
      </c>
      <c r="F5" s="70"/>
    </row>
    <row r="6" spans="1:6" x14ac:dyDescent="0.3">
      <c r="A6" t="s">
        <v>142</v>
      </c>
      <c r="C6" s="99">
        <v>2500000</v>
      </c>
      <c r="E6" s="8" t="s">
        <v>151</v>
      </c>
      <c r="F6" s="8" t="s">
        <v>152</v>
      </c>
    </row>
    <row r="7" spans="1:6" ht="15.6" x14ac:dyDescent="0.3">
      <c r="A7" t="s">
        <v>143</v>
      </c>
      <c r="B7" t="s">
        <v>158</v>
      </c>
      <c r="C7" s="99">
        <v>2370000</v>
      </c>
      <c r="E7" s="98">
        <f>SUM(Tableau2[Amount(IDR)])</f>
        <v>232370000</v>
      </c>
      <c r="F7" s="96">
        <f>E7/EUR_IDR</f>
        <v>13571.428571428571</v>
      </c>
    </row>
    <row r="8" spans="1:6" x14ac:dyDescent="0.3">
      <c r="C8" s="87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ECDF0-E935-4BB8-86D0-48F678EC1682}">
  <dimension ref="A1:G9"/>
  <sheetViews>
    <sheetView workbookViewId="0">
      <selection activeCell="C8" sqref="C8"/>
    </sheetView>
  </sheetViews>
  <sheetFormatPr baseColWidth="10" defaultRowHeight="14.4" x14ac:dyDescent="0.3"/>
  <cols>
    <col min="1" max="1" width="42.6640625" bestFit="1" customWidth="1"/>
    <col min="2" max="2" width="8.6640625" bestFit="1" customWidth="1"/>
    <col min="3" max="3" width="14.6640625" customWidth="1"/>
    <col min="4" max="4" width="19.33203125" bestFit="1" customWidth="1"/>
    <col min="5" max="5" width="8.88671875" customWidth="1"/>
    <col min="6" max="6" width="12.5546875" bestFit="1" customWidth="1"/>
    <col min="7" max="7" width="11.6640625" bestFit="1" customWidth="1"/>
  </cols>
  <sheetData>
    <row r="1" spans="1:7" x14ac:dyDescent="0.3">
      <c r="A1" t="s">
        <v>138</v>
      </c>
      <c r="B1" t="s">
        <v>20</v>
      </c>
      <c r="C1" t="s">
        <v>139</v>
      </c>
      <c r="D1" t="s">
        <v>159</v>
      </c>
    </row>
    <row r="2" spans="1:7" x14ac:dyDescent="0.3">
      <c r="A2" t="s">
        <v>144</v>
      </c>
      <c r="C2" s="87">
        <v>67556000</v>
      </c>
      <c r="D2" s="105">
        <f>Tableau3[[#This Row],[Amount(IDR)]]/$F$7</f>
        <v>0.27618720319897028</v>
      </c>
      <c r="E2" s="104"/>
    </row>
    <row r="3" spans="1:7" x14ac:dyDescent="0.3">
      <c r="A3" t="s">
        <v>145</v>
      </c>
      <c r="C3" s="87">
        <v>6047296</v>
      </c>
      <c r="D3" s="105">
        <f>Tableau3[[#This Row],[Amount(IDR)]]/$F$7</f>
        <v>2.4722981958024755E-2</v>
      </c>
      <c r="E3" s="104"/>
    </row>
    <row r="4" spans="1:7" ht="15.6" x14ac:dyDescent="0.3">
      <c r="A4" t="s">
        <v>146</v>
      </c>
      <c r="C4" s="87">
        <v>18000000</v>
      </c>
      <c r="D4" s="105">
        <f>Tableau3[[#This Row],[Amount(IDR)]]/$F$7</f>
        <v>7.3588869346637831E-2</v>
      </c>
      <c r="E4" s="104"/>
      <c r="F4" s="108" t="s">
        <v>160</v>
      </c>
      <c r="G4" s="107">
        <f>C7/EUR_IDR</f>
        <v>7047.0516294825375</v>
      </c>
    </row>
    <row r="5" spans="1:7" x14ac:dyDescent="0.3">
      <c r="A5" t="s">
        <v>147</v>
      </c>
      <c r="B5">
        <v>1</v>
      </c>
      <c r="C5" s="87">
        <v>9831899</v>
      </c>
      <c r="D5" s="105">
        <f>Tableau3[[#This Row],[Amount(IDR)]]/$F$7</f>
        <v>4.019546283001884E-2</v>
      </c>
      <c r="E5" s="104"/>
      <c r="G5" s="70"/>
    </row>
    <row r="6" spans="1:7" x14ac:dyDescent="0.3">
      <c r="A6" t="s">
        <v>148</v>
      </c>
      <c r="B6">
        <v>1</v>
      </c>
      <c r="C6" s="87">
        <v>9528920</v>
      </c>
      <c r="D6" s="105">
        <f>Tableau3[[#This Row],[Amount(IDR)]]/$F$7</f>
        <v>3.8956802716364675E-2</v>
      </c>
      <c r="E6" s="104"/>
      <c r="F6" s="8" t="s">
        <v>151</v>
      </c>
      <c r="G6" s="8" t="s">
        <v>152</v>
      </c>
    </row>
    <row r="7" spans="1:7" ht="15.6" x14ac:dyDescent="0.3">
      <c r="A7" t="s">
        <v>149</v>
      </c>
      <c r="C7" s="87">
        <v>120659618</v>
      </c>
      <c r="D7" s="105">
        <f>Tableau3[[#This Row],[Amount(IDR)]]/$F$7</f>
        <v>0.49328915913429056</v>
      </c>
      <c r="E7" s="104"/>
      <c r="F7" s="97">
        <f>SUM(Tableau3[Amount(IDR)])</f>
        <v>244602209</v>
      </c>
      <c r="G7" s="106">
        <f>F7/EUR_IDR</f>
        <v>14285.843301016237</v>
      </c>
    </row>
    <row r="8" spans="1:7" x14ac:dyDescent="0.3">
      <c r="A8" t="s">
        <v>5</v>
      </c>
      <c r="B8">
        <v>1</v>
      </c>
      <c r="C8" s="87">
        <f>358*EUR_IDR</f>
        <v>6129676</v>
      </c>
      <c r="D8" s="105">
        <f>Tableau3[[#This Row],[Amount(IDR)]]/$F$7</f>
        <v>2.5059773683401201E-2</v>
      </c>
    </row>
    <row r="9" spans="1:7" x14ac:dyDescent="0.3">
      <c r="A9" t="s">
        <v>164</v>
      </c>
      <c r="B9">
        <v>1</v>
      </c>
      <c r="C9" s="87">
        <f>400*EUR_IDR</f>
        <v>6848800</v>
      </c>
      <c r="D9" s="105">
        <f>Tableau3[[#This Row],[Amount(IDR)]]/$F$7</f>
        <v>2.7999747132291843E-2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8E705-BED2-4587-8B77-699CFDA1ADCA}">
  <dimension ref="A1:D4"/>
  <sheetViews>
    <sheetView workbookViewId="0">
      <selection activeCell="D4" sqref="D4"/>
    </sheetView>
  </sheetViews>
  <sheetFormatPr baseColWidth="10" defaultRowHeight="14.4" x14ac:dyDescent="0.3"/>
  <cols>
    <col min="2" max="2" width="8.44140625" customWidth="1"/>
    <col min="3" max="3" width="8.33203125" customWidth="1"/>
  </cols>
  <sheetData>
    <row r="1" spans="1:4" x14ac:dyDescent="0.3">
      <c r="A1" t="s">
        <v>161</v>
      </c>
      <c r="B1" t="s">
        <v>80</v>
      </c>
      <c r="C1" t="s">
        <v>162</v>
      </c>
      <c r="D1" t="s">
        <v>25</v>
      </c>
    </row>
    <row r="2" spans="1:4" x14ac:dyDescent="0.3">
      <c r="A2" t="s">
        <v>80</v>
      </c>
      <c r="B2">
        <v>1</v>
      </c>
      <c r="D2">
        <v>17510</v>
      </c>
    </row>
    <row r="3" spans="1:4" x14ac:dyDescent="0.3">
      <c r="A3" t="s">
        <v>162</v>
      </c>
      <c r="C3">
        <v>1</v>
      </c>
      <c r="D3">
        <v>17122</v>
      </c>
    </row>
    <row r="4" spans="1:4" x14ac:dyDescent="0.3">
      <c r="A4" t="s">
        <v>25</v>
      </c>
      <c r="D4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8</vt:i4>
      </vt:variant>
    </vt:vector>
  </HeadingPairs>
  <TitlesOfParts>
    <vt:vector size="15" baseType="lpstr">
      <vt:lpstr>Costs2</vt:lpstr>
      <vt:lpstr>Serum</vt:lpstr>
      <vt:lpstr>Emulsion</vt:lpstr>
      <vt:lpstr>Rich Lotion</vt:lpstr>
      <vt:lpstr>Fix-Costs</vt:lpstr>
      <vt:lpstr>Shipping-Costs</vt:lpstr>
      <vt:lpstr>Currencies</vt:lpstr>
      <vt:lpstr>AmountFC</vt:lpstr>
      <vt:lpstr>AmountSC</vt:lpstr>
      <vt:lpstr>CHF_IDR</vt:lpstr>
      <vt:lpstr>EUR_IDR</vt:lpstr>
      <vt:lpstr>Location</vt:lpstr>
      <vt:lpstr>SocialMedia</vt:lpstr>
      <vt:lpstr>TypeFC</vt:lpstr>
      <vt:lpstr>TypeSC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Pierre Boeschlin</dc:creator>
  <cp:keywords/>
  <dc:description/>
  <cp:lastModifiedBy>Pierre Boeschlin</cp:lastModifiedBy>
  <cp:revision/>
  <dcterms:created xsi:type="dcterms:W3CDTF">2023-08-14T12:47:03Z</dcterms:created>
  <dcterms:modified xsi:type="dcterms:W3CDTF">2024-11-06T12:58:42Z</dcterms:modified>
  <cp:category/>
  <cp:contentStatus/>
</cp:coreProperties>
</file>